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Loan Summary" state="visible" r:id="rId4"/>
    <sheet sheetId="2" name="Assumptions" state="visible" r:id="rId5"/>
    <sheet sheetId="3" name="Scenario Assumptions" state="visible" r:id="rId6"/>
    <sheet sheetId="4" name="CF - Base" state="visible" r:id="rId7"/>
    <sheet sheetId="5" name="CF - Bull" state="visible" r:id="rId8"/>
    <sheet sheetId="6" name="CF - Bear" state="visible" r:id="rId9"/>
    <sheet sheetId="7" name="Debt Sizing" state="visible" r:id="rId10"/>
    <sheet sheetId="8" name="Reserves" state="visible" r:id="rId11"/>
    <sheet sheetId="9" name="Comps" state="visible" r:id="rId12"/>
    <sheet sheetId="10" name="Operating Comps" state="visible" r:id="rId13"/>
    <sheet sheetId="11" name="SOFR" state="visible" r:id="rId14"/>
  </sheets>
  <calcPr calcId="171027"/>
</workbook>
</file>

<file path=xl/sharedStrings.xml><?xml version="1.0" encoding="utf-8"?>
<sst xmlns="http://schemas.openxmlformats.org/spreadsheetml/2006/main" count="406" uniqueCount="295">
  <si>
    <t>HARBORLINE BUILDING — 123 MAIN ST, AUSTIN, TX</t>
  </si>
  <si>
    <t>As of July 2026</t>
  </si>
  <si>
    <t>FICTIONAL SAMPLE · for demonstration</t>
  </si>
  <si>
    <t>Bridge loan screening — house template format</t>
  </si>
  <si>
    <t>RECOMMENDATION</t>
  </si>
  <si>
    <t>Approve for screening — $9.53M bridge (65% LTC), 1M SOFR + 3.75%, 12 + 6 + 6 months; proceed to full underwriting subject to appraisal, PCA and Phase I.</t>
  </si>
  <si>
    <t>PROPERTY &amp; BUSINESS PLAN</t>
  </si>
  <si>
    <t>Property</t>
  </si>
  <si>
    <t>Harborline Building, 123 Main St, Austin, TX 78701</t>
  </si>
  <si>
    <t>Asset</t>
  </si>
  <si>
    <t>Business plan</t>
  </si>
  <si>
    <t>Acquire vacant; 7-month conversion; lease-up to 90% by FY2; refinance or sell at stabilization</t>
  </si>
  <si>
    <t>Sponsor</t>
  </si>
  <si>
    <t>Kestrel Bay Storage Partners LLC (fictional)</t>
  </si>
  <si>
    <t>LOAN</t>
  </si>
  <si>
    <t>Recommended total loan</t>
  </si>
  <si>
    <t>Loan-to-cost</t>
  </si>
  <si>
    <t>Initial funding at close</t>
  </si>
  <si>
    <t>Future funding (capex &amp; carry)</t>
  </si>
  <si>
    <t>Index / spread</t>
  </si>
  <si>
    <t>1M Term SOFR + 3.75% (rate cap purchased at close)</t>
  </si>
  <si>
    <t>All-in rate — stabilized (FY3)</t>
  </si>
  <si>
    <t>Stabilized DSCR (FY3, base)</t>
  </si>
  <si>
    <t>Stabilized debt yield (FY3, base)</t>
  </si>
  <si>
    <t>Term</t>
  </si>
  <si>
    <t>12 months initial + two 6-month extensions</t>
  </si>
  <si>
    <t>SOURCES &amp; USES</t>
  </si>
  <si>
    <t>Sources</t>
  </si>
  <si>
    <t>$</t>
  </si>
  <si>
    <t>% of Total</t>
  </si>
  <si>
    <t>$/SF</t>
  </si>
  <si>
    <t>Bridge loan (initial + future funding)</t>
  </si>
  <si>
    <t>Sponsor equity</t>
  </si>
  <si>
    <t>Total sources</t>
  </si>
  <si>
    <t>Uses</t>
  </si>
  <si>
    <t>Property purchase</t>
  </si>
  <si>
    <t>Closing &amp; financing costs</t>
  </si>
  <si>
    <t>Conversion capex</t>
  </si>
  <si>
    <t>Total uses</t>
  </si>
  <si>
    <t>STABILIZED METRICS</t>
  </si>
  <si>
    <t>Stabilized NOI (FY3, base)</t>
  </si>
  <si>
    <t>Stabilized LTV</t>
  </si>
  <si>
    <t>As-is LTV</t>
  </si>
  <si>
    <t>Value creation over total basis</t>
  </si>
  <si>
    <t>ASSUMPTIONS — HARBORLINE BUILDING</t>
  </si>
  <si>
    <t>FICTIONAL SAMPLE · for demonstration — all inputs invented</t>
  </si>
  <si>
    <t>PROPERTY</t>
  </si>
  <si>
    <t>Gross leasable area (SF)</t>
  </si>
  <si>
    <t>Site area (acres)</t>
  </si>
  <si>
    <t>Year built</t>
  </si>
  <si>
    <t>Clear height (ft)</t>
  </si>
  <si>
    <t>Loading</t>
  </si>
  <si>
    <t>14 grade-level / 2 dock-high (post-conversion)</t>
  </si>
  <si>
    <t>ACQUISITION &amp; USES</t>
  </si>
  <si>
    <t>Purchase price</t>
  </si>
  <si>
    <t>Title, escrow &amp; transfer (0.7% of price)</t>
  </si>
  <si>
    <t>Legal, diligence &amp; third-party reports</t>
  </si>
  <si>
    <t>Financing fees &amp; interest-rate cap</t>
  </si>
  <si>
    <t>Development &amp; CM fees at close (5% of capex)</t>
  </si>
  <si>
    <t>Closing costs — total</t>
  </si>
  <si>
    <t>Capex — conversion hard costs</t>
  </si>
  <si>
    <t>Capex — soft costs &amp; contingency</t>
  </si>
  <si>
    <t>Capex — total</t>
  </si>
  <si>
    <t>Construction period (months)</t>
  </si>
  <si>
    <t>UW ADJUSTMENTS</t>
  </si>
  <si>
    <t>UW haircut to sponsor EGI</t>
  </si>
  <si>
    <t>Annual revenue &amp; expense growth</t>
  </si>
  <si>
    <t>MARKET — AUSTIN, TX (FICTIONAL)</t>
  </si>
  <si>
    <t>Industrial market rent ($/SF/yr, NNN)</t>
  </si>
  <si>
    <t>Submarket industrial vacancy</t>
  </si>
  <si>
    <t>Small-bay achieved rents — comp set ($/SF/yr)</t>
  </si>
  <si>
    <t>Stabilized occupancy — sponsor plan</t>
  </si>
  <si>
    <t>Industrial cap rate (as-is / re-lease)</t>
  </si>
  <si>
    <t>Market rent growth</t>
  </si>
  <si>
    <t>Exit / valuation cap rates</t>
  </si>
  <si>
    <t>Stabilized cap rate — base</t>
  </si>
  <si>
    <t>Re-lease cap rate — bear (industrial)</t>
  </si>
  <si>
    <t>Stabilized cap rate — bull</t>
  </si>
  <si>
    <t>SIZING PARAMETERS</t>
  </si>
  <si>
    <t>Maximum loan-to-cost (LTC)</t>
  </si>
  <si>
    <t>Maximum initial advance (% of purchase price)</t>
  </si>
  <si>
    <t>Maximum as-is LTV</t>
  </si>
  <si>
    <t>Minimum DSCR — base FY3</t>
  </si>
  <si>
    <t>Minimum debt yield — stabilized</t>
  </si>
  <si>
    <t>Minimum DSCR — bear FY3</t>
  </si>
  <si>
    <t>RESERVES (ESCROWED AT CLOSE)</t>
  </si>
  <si>
    <t>Interest reserve</t>
  </si>
  <si>
    <t>Operating shortfall reserve</t>
  </si>
  <si>
    <t>Funded from sponsor equity at close; excluded from LTC cost basis.</t>
  </si>
  <si>
    <t>SCENARIO ASSUMPTIONS</t>
  </si>
  <si>
    <t>Scenario</t>
  </si>
  <si>
    <t>Definition</t>
  </si>
  <si>
    <t>Revenue vs sponsor EGI</t>
  </si>
  <si>
    <t>Stabilized cap</t>
  </si>
  <si>
    <t>BASE</t>
  </si>
  <si>
    <t>Sponsor plan with UW haircut; conversion on schedule; 90% stabilized occupancy</t>
  </si>
  <si>
    <t>BULL</t>
  </si>
  <si>
    <t>Sponsor plan achieved in full; faster lease-up; 95% stabilized occupancy</t>
  </si>
  <si>
    <t>BEAR</t>
  </si>
  <si>
    <t>Conversion abandoned; building re-let as bulk industrial at market rent</t>
  </si>
  <si>
    <t>industrial</t>
  </si>
  <si>
    <t>OCCUPANCY RAMP</t>
  </si>
  <si>
    <t>Year</t>
  </si>
  <si>
    <t>FY1</t>
  </si>
  <si>
    <t>FY2</t>
  </si>
  <si>
    <t>FY3</t>
  </si>
  <si>
    <t>FY4</t>
  </si>
  <si>
    <t>Base</t>
  </si>
  <si>
    <t>Bull</t>
  </si>
  <si>
    <t>Bear</t>
  </si>
  <si>
    <t>HARBORLINE BUILDING — CASH FLOW (BASE)</t>
  </si>
  <si>
    <t>FICTIONAL SAMPLE · for demonstration — 10-year underwriting cash flow</t>
  </si>
  <si>
    <t>Fiscal year ending</t>
  </si>
  <si>
    <t>FY5</t>
  </si>
  <si>
    <t>FY6</t>
  </si>
  <si>
    <t>FY7</t>
  </si>
  <si>
    <t>FY8</t>
  </si>
  <si>
    <t>FY9</t>
  </si>
  <si>
    <t>FY10</t>
  </si>
  <si>
    <t>REVENUE</t>
  </si>
  <si>
    <t>Storage rent — small-bay units</t>
  </si>
  <si>
    <t>Office &amp; flex suites</t>
  </si>
  <si>
    <t>Other income (fees, tenant insurance)</t>
  </si>
  <si>
    <t>Truck &amp; equipment rental</t>
  </si>
  <si>
    <t>Gross potential revenue</t>
  </si>
  <si>
    <t>Vacancy &amp; credit loss</t>
  </si>
  <si>
    <t>Concessions</t>
  </si>
  <si>
    <t>Sponsor EGI</t>
  </si>
  <si>
    <t>UW haircut to EGI</t>
  </si>
  <si>
    <t>UW effective gross income</t>
  </si>
  <si>
    <t>OPERATING EXPENSES</t>
  </si>
  <si>
    <t>Repairs, maintenance &amp; CAM</t>
  </si>
  <si>
    <t>Insurance</t>
  </si>
  <si>
    <t>Real estate taxes</t>
  </si>
  <si>
    <t>Management fee (5% of UW EGI)</t>
  </si>
  <si>
    <t>On-site payroll</t>
  </si>
  <si>
    <t>IT &amp; software</t>
  </si>
  <si>
    <t>Marketing &amp; leasing</t>
  </si>
  <si>
    <t>Utilities</t>
  </si>
  <si>
    <t>Security &amp; monitoring</t>
  </si>
  <si>
    <t>General &amp; administrative</t>
  </si>
  <si>
    <t>Total operating expenses</t>
  </si>
  <si>
    <t>NET OPERATING INCOME</t>
  </si>
  <si>
    <t>NOI margin (of UW EGI)</t>
  </si>
  <si>
    <t>DEBT SERVICE &amp; COVERAGE (FULLY-FUNDED BALANCE)</t>
  </si>
  <si>
    <t>Debt service — interest only</t>
  </si>
  <si>
    <t>DSCR</t>
  </si>
  <si>
    <t>Debt yield</t>
  </si>
  <si>
    <t>STABILIZED VALUATION</t>
  </si>
  <si>
    <t>Stabilized NOI (FY3)</t>
  </si>
  <si>
    <t>Stabilized cap rate</t>
  </si>
  <si>
    <t>Stabilized value</t>
  </si>
  <si>
    <t>Stabilized value $/SF</t>
  </si>
  <si>
    <t>HARBORLINE BUILDING — CASH FLOW (BULL)</t>
  </si>
  <si>
    <t>UW haircut to EGI — none (bull)</t>
  </si>
  <si>
    <t>HARBORLINE BUILDING — CASH FLOW (BEAR: INDUSTRIAL RE-LEASE)</t>
  </si>
  <si>
    <t>FICTIONAL SAMPLE · for demonstration — conversion fails; re-let as bulk industrial</t>
  </si>
  <si>
    <t>INDUSTRIAL RE-LEASE</t>
  </si>
  <si>
    <t>12-month downtime; lease-up to 93% by FY3 at market NNN rent</t>
  </si>
  <si>
    <t>Market rent ($/SF, NNN)</t>
  </si>
  <si>
    <t>Gross potential rent</t>
  </si>
  <si>
    <t>Occupancy</t>
  </si>
  <si>
    <t>Effective gross income</t>
  </si>
  <si>
    <t>Management fee (3%)</t>
  </si>
  <si>
    <t>Reserves &amp; non-reimbursables ($0.10/SF)</t>
  </si>
  <si>
    <t>COVERAGE</t>
  </si>
  <si>
    <t>Loan balance (fully funded)</t>
  </si>
  <si>
    <t>All-in rate (SOFR fwd + spread)</t>
  </si>
  <si>
    <t>VALUATION (INDUSTRIAL)</t>
  </si>
  <si>
    <t>Stabilized industrial NOI (FY3)</t>
  </si>
  <si>
    <t>Industrial cap rate</t>
  </si>
  <si>
    <t>Stabilized industrial value</t>
  </si>
  <si>
    <t>LTV at industrial value</t>
  </si>
  <si>
    <t>DEBT SIZING</t>
  </si>
  <si>
    <t>INPUTS</t>
  </si>
  <si>
    <t>Total capex</t>
  </si>
  <si>
    <t>Closing costs</t>
  </si>
  <si>
    <t>Total project cost</t>
  </si>
  <si>
    <t>Stabilized NOI — base FY3</t>
  </si>
  <si>
    <t>Stabilized value — base</t>
  </si>
  <si>
    <t>As-is value (appraisal, vacant)</t>
  </si>
  <si>
    <t>Bear industrial value (stabilized)</t>
  </si>
  <si>
    <t>LOAN SIZING</t>
  </si>
  <si>
    <t>Maximum loan — LTC constraint</t>
  </si>
  <si>
    <t>Initial funding at close (60% of purchase)</t>
  </si>
  <si>
    <t>Future funding (capex &amp; carry draws)</t>
  </si>
  <si>
    <t>Loan $/SF (fully funded)</t>
  </si>
  <si>
    <t>RECOMMENDED TOTAL LOAN</t>
  </si>
  <si>
    <t>LTV — stabilized (base)</t>
  </si>
  <si>
    <t>LTV — as-is</t>
  </si>
  <si>
    <t>LTV — bear industrial</t>
  </si>
  <si>
    <t>SIZING TESTS</t>
  </si>
  <si>
    <t>Test</t>
  </si>
  <si>
    <t>Threshold</t>
  </si>
  <si>
    <t>Actual</t>
  </si>
  <si>
    <t>Result</t>
  </si>
  <si>
    <t>DSCR — base FY3</t>
  </si>
  <si>
    <t>Debt yield — stabilized (base FY3)</t>
  </si>
  <si>
    <t>DSCR — bear FY3</t>
  </si>
  <si>
    <t>LTV — as-is (max)</t>
  </si>
  <si>
    <t>Loan-to-cost (max)</t>
  </si>
  <si>
    <t>RESERVES &amp; CARRY</t>
  </si>
  <si>
    <t>FICTIONAL SAMPLE · for demonstration — escrowed at close from sponsor equity</t>
  </si>
  <si>
    <t>RESERVES (AT CLOSE)</t>
  </si>
  <si>
    <t>Total reserves</t>
  </si>
  <si>
    <t>CARRY CHECK — CONSTRUCTION + FY1 (DRAW-BASED)</t>
  </si>
  <si>
    <t>Loan — initial funding at close</t>
  </si>
  <si>
    <t>Loan — fully funded</t>
  </si>
  <si>
    <t>Average balance during construction</t>
  </si>
  <si>
    <t>All-in rate — FY1</t>
  </si>
  <si>
    <t>Construction interest (avg balance)</t>
  </si>
  <si>
    <t>Post-construction interest (balance of FY1)</t>
  </si>
  <si>
    <t>FY1 interest — draw-based cross-check</t>
  </si>
  <si>
    <t>OPERATING CARRY — FY1 (CF - BASE)</t>
  </si>
  <si>
    <t>FY1 NOI (CF - Base)</t>
  </si>
  <si>
    <t>FY1 debt service (model, fully-funded — conservative)</t>
  </si>
  <si>
    <t>FY1 cash after draw-based interest</t>
  </si>
  <si>
    <t>RESERVE ADEQUACY</t>
  </si>
  <si>
    <t>FY1 carry shortfall (interest less NOI)</t>
  </si>
  <si>
    <t>FY2 cash after debt service (CF - Base)</t>
  </si>
  <si>
    <t>Reserve surplus / (deficit)</t>
  </si>
  <si>
    <t>Adequacy check</t>
  </si>
  <si>
    <t>COMPARABLES — AUSTIN, TX</t>
  </si>
  <si>
    <t>borrower-curated · FICTIONAL</t>
  </si>
  <si>
    <t>LEASE COMPS — SMALL-BAY STORAGE / FLEX</t>
  </si>
  <si>
    <t>Address — Tenant</t>
  </si>
  <si>
    <t>Dist (mi)</t>
  </si>
  <si>
    <t>SF</t>
  </si>
  <si>
    <t>$/SF/yr</t>
  </si>
  <si>
    <t>Rent/yr</t>
  </si>
  <si>
    <t>4812 Burleson Rd — Hill Country Gear Co.</t>
  </si>
  <si>
    <t>2205 E St Elmo Rd — Violet Crown Sports</t>
  </si>
  <si>
    <t>9300 McKinney Falls Pkwy — Bat City Outfitters</t>
  </si>
  <si>
    <t>1717 Ferguson Ln — Longhorn Trades LLC</t>
  </si>
  <si>
    <t>600 Industrial Blvd — Zilker Provisions</t>
  </si>
  <si>
    <t>7401 E Ben White Blvd — Colorado Bend Storage</t>
  </si>
  <si>
    <t>11500 Metric Blvd — Pecan Street Works</t>
  </si>
  <si>
    <t>3901 Promontory Point Dr — Barton Creek Supply</t>
  </si>
  <si>
    <t>SF-weighted average</t>
  </si>
  <si>
    <t>—</t>
  </si>
  <si>
    <t>SALE COMPS — INDUSTRIAL / SMALL-BAY CONVERSIONS</t>
  </si>
  <si>
    <t>Address</t>
  </si>
  <si>
    <t>Date</t>
  </si>
  <si>
    <t>Price</t>
  </si>
  <si>
    <t>Cap</t>
  </si>
  <si>
    <t>Type</t>
  </si>
  <si>
    <t>5400 E 5th St</t>
  </si>
  <si>
    <t>Jan-26</t>
  </si>
  <si>
    <t>Industrial — as-is</t>
  </si>
  <si>
    <t>2900 W Slaughter Ln</t>
  </si>
  <si>
    <t>Nov-25</t>
  </si>
  <si>
    <t>8000 Cameron Rd</t>
  </si>
  <si>
    <t>Mar-26</t>
  </si>
  <si>
    <t>Stabilized small-bay</t>
  </si>
  <si>
    <t>12800 Harris Ridge Blvd</t>
  </si>
  <si>
    <t>Feb-26</t>
  </si>
  <si>
    <t>4500 S Congress Ave</t>
  </si>
  <si>
    <t>Aug-25</t>
  </si>
  <si>
    <t>1600 Royston Ln, Round Rock</t>
  </si>
  <si>
    <t>May-26</t>
  </si>
  <si>
    <t>Average cap rate</t>
  </si>
  <si>
    <t>OPERATING COMPS — SMALL-BAY STORAGE</t>
  </si>
  <si>
    <t>COMPETITOR SET — AUSTIN</t>
  </si>
  <si>
    <t>Facility</t>
  </si>
  <si>
    <t>StowSpace South Austin</t>
  </si>
  <si>
    <t>BlueBonnet Storage Yard</t>
  </si>
  <si>
    <t>Armadillo Flex Storage</t>
  </si>
  <si>
    <t>TexStore Riverside</t>
  </si>
  <si>
    <t>Cedar Door Depot</t>
  </si>
  <si>
    <t>ACHIEVED RENTS — SPONSOR'S OWN MARKETS</t>
  </si>
  <si>
    <t>Market / facility</t>
  </si>
  <si>
    <t>Unit type</t>
  </si>
  <si>
    <t>San Antonio — Broadway Yard</t>
  </si>
  <si>
    <t>Small-bay</t>
  </si>
  <si>
    <t>Fort Worth — Alliance Depot</t>
  </si>
  <si>
    <t>Round Rock — La Frontera</t>
  </si>
  <si>
    <t>El Paso — Zaragoza</t>
  </si>
  <si>
    <t>Tulsa — Peoria Works</t>
  </si>
  <si>
    <t>Flex suite</t>
  </si>
  <si>
    <t>Waco — Bosque Yard</t>
  </si>
  <si>
    <t>SOFR — FORWARD CURVE &amp; ALL-IN RATES</t>
  </si>
  <si>
    <t>Index</t>
  </si>
  <si>
    <t>1M Term SOFR</t>
  </si>
  <si>
    <t>Credit spread</t>
  </si>
  <si>
    <t>Note</t>
  </si>
  <si>
    <t>Fictional illustrative forward strip as of Jul-2026 — not market data.</t>
  </si>
  <si>
    <t>Month</t>
  </si>
  <si>
    <t>3M Term SOFR</t>
  </si>
  <si>
    <t>Forward curve table at columns O:Q (rows 8-32) →</t>
  </si>
  <si>
    <t>Fiscal year (ending)</t>
  </si>
  <si>
    <t>FY1 (8/31/27)</t>
  </si>
  <si>
    <t>FY2 (8/31/28)</t>
  </si>
  <si>
    <t>FY3 (8/31/29)</t>
  </si>
  <si>
    <t>FY4 (8/31/30)</t>
  </si>
  <si>
    <t>All-in rate (fwd 1M SOFR avg + spread)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</si>
</sst>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;($#,##0)"/>
    <numFmt numFmtId="165" formatCode="0.0%"/>
    <numFmt numFmtId="166" formatCode="0.00&quot;x&quot;"/>
    <numFmt numFmtId="167" formatCode="$#,##0.00"/>
    <numFmt numFmtId="168" formatCode="0.0"/>
    <numFmt numFmtId="169" formatCode="m/d/yy"/>
  </numFmts>
  <fonts count="16" x14ac:knownFonts="1">
    <font>
      <color theme="1"/>
      <family val="2"/>
      <scheme val="minor"/>
      <sz val="11"/>
      <name val="Calibri"/>
    </font>
    <font>
      <b/>
      <color rgb="FF0E2A45"/>
      <sz val="14"/>
    </font>
    <font>
      <i/>
      <color rgb="FF5A6678"/>
    </font>
    <font>
      <i/>
      <color rgb="FF7A8798"/>
      <sz val="10"/>
    </font>
    <font>
      <i/>
      <color rgb="00808080"/>
      <sz val="9"/>
    </font>
    <font>
      <b/>
      <color rgb="FF12324F"/>
    </font>
    <font>
      <b/>
      <color rgb="FF1A2230"/>
    </font>
    <font>
      <b/>
      <color rgb="FF12324F"/>
      <family val="2"/>
      <scheme val="minor"/>
      <sz val="11"/>
      <name val="Calibri"/>
    </font>
    <font>
      <color rgb="000000FF"/>
    </font>
    <font>
      <color rgb="FF1A2230"/>
    </font>
    <font>
      <color rgb="FF1A2230"/>
      <family val="2"/>
      <scheme val="minor"/>
      <sz val="11"/>
      <name val="Calibri"/>
    </font>
    <font>
      <color rgb="FF1D5FA8"/>
    </font>
    <font>
      <b/>
    </font>
    <font>
      <b/>
      <color rgb="FF1D5FA8"/>
    </font>
    <font>
      <i/>
      <color rgb="FF1A2230"/>
      <sz val="9"/>
    </font>
    <font>
      <color rgb="FF9AA5B5"/>
    </font>
  </fonts>
  <fills count="6">
    <fill>
      <patternFill patternType="none"/>
    </fill>
    <fill>
      <patternFill patternType="gray125"/>
    </fill>
    <fill>
      <patternFill/>
    </fill>
    <fill>
      <patternFill patternType="solid">
        <fgColor rgb="00F2F2F2"/>
      </patternFill>
    </fill>
    <fill>
      <patternFill patternType="solid">
        <fgColor rgb="FFDDE8F3"/>
      </patternFill>
    </fill>
    <fill>
      <patternFill patternType="solid">
        <fgColor rgb="00DDE8F3"/>
      </patternFill>
    </fill>
  </fills>
  <borders count="6">
    <border>
      <left/>
      <right/>
      <top/>
      <bottom/>
      <diagonal/>
    </border>
    <border>
      <left/>
      <right/>
      <top/>
      <bottom style="thin">
        <color rgb="FF2A6EA6"/>
      </bottom>
      <diagonal/>
    </border>
    <border>
      <left style="thin">
        <color rgb="00B3B3B3"/>
      </left>
      <right style="thin">
        <color rgb="00B3B3B3"/>
      </right>
      <top style="thin">
        <color rgb="00B3B3B3"/>
      </top>
      <bottom style="thin">
        <color rgb="FF2A6EA6"/>
      </bottom>
      <diagonal/>
    </border>
    <border>
      <left style="thin">
        <color rgb="00B3B3B3"/>
      </left>
      <right style="thin">
        <color rgb="00B3B3B3"/>
      </right>
      <top style="thin">
        <color rgb="00B3B3B3"/>
      </top>
      <bottom style="thin">
        <color rgb="00B3B3B3"/>
      </bottom>
      <diagonal/>
    </border>
    <border>
      <left/>
      <right/>
      <top style="thin">
        <color rgb="00B3B3B3"/>
      </top>
      <bottom/>
      <diagonal/>
    </border>
    <border>
      <left/>
      <right/>
      <top style="thin">
        <color rgb="00B3B3B3"/>
      </top>
      <bottom style="thin">
        <color rgb="FF2A6EA6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/>
    <xf numFmtId="0" fontId="6" fillId="4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7" fillId="5" borderId="1" xfId="0" applyFont="1" applyFill="1" applyBorder="1"/>
    <xf numFmtId="0" fontId="8" fillId="2" borderId="0" xfId="0" applyFont="1" applyFill="1"/>
    <xf numFmtId="0" fontId="9" fillId="0" borderId="0" xfId="0" applyFont="1"/>
    <xf numFmtId="164" fontId="6" fillId="2" borderId="0" xfId="0" applyNumberFormat="1" applyFont="1" applyFill="1"/>
    <xf numFmtId="165" fontId="10" fillId="2" borderId="0" xfId="0" applyNumberFormat="1" applyFont="1" applyFill="1"/>
    <xf numFmtId="164" fontId="10" fillId="2" borderId="0" xfId="0" applyNumberFormat="1" applyFont="1" applyFill="1"/>
    <xf numFmtId="10" fontId="10" fillId="2" borderId="0" xfId="0" applyNumberFormat="1" applyFont="1" applyFill="1"/>
    <xf numFmtId="166" fontId="10" fillId="2" borderId="0" xfId="0" applyNumberFormat="1" applyFont="1" applyFill="1"/>
    <xf numFmtId="0" fontId="5" fillId="4" borderId="2" xfId="0" applyFont="1" applyFill="1" applyBorder="1"/>
    <xf numFmtId="0" fontId="6" fillId="2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4" fontId="10" fillId="2" borderId="3" xfId="0" applyNumberFormat="1" applyFont="1" applyFill="1" applyBorder="1"/>
    <xf numFmtId="165" fontId="10" fillId="2" borderId="3" xfId="0" applyNumberFormat="1" applyFont="1" applyFill="1" applyBorder="1"/>
    <xf numFmtId="167" fontId="10" fillId="2" borderId="3" xfId="0" applyNumberFormat="1" applyFont="1" applyFill="1" applyBorder="1"/>
    <xf numFmtId="164" fontId="6" fillId="2" borderId="3" xfId="0" applyNumberFormat="1" applyFont="1" applyFill="1" applyBorder="1"/>
    <xf numFmtId="165" fontId="6" fillId="2" borderId="3" xfId="0" applyNumberFormat="1" applyFont="1" applyFill="1" applyBorder="1"/>
    <xf numFmtId="167" fontId="6" fillId="2" borderId="3" xfId="0" applyNumberFormat="1" applyFont="1" applyFill="1" applyBorder="1"/>
    <xf numFmtId="3" fontId="11" fillId="2" borderId="0" xfId="0" applyNumberFormat="1" applyFont="1" applyFill="1"/>
    <xf numFmtId="168" fontId="11" fillId="2" borderId="0" xfId="0" applyNumberFormat="1" applyFont="1" applyFill="1"/>
    <xf numFmtId="1" fontId="11" fillId="2" borderId="0" xfId="0" applyNumberFormat="1" applyFont="1" applyFill="1"/>
    <xf numFmtId="164" fontId="11" fillId="2" borderId="0" xfId="0" applyNumberFormat="1" applyFont="1" applyFill="1"/>
    <xf numFmtId="164" fontId="6" fillId="2" borderId="4" xfId="0" applyNumberFormat="1" applyFont="1" applyFill="1" applyBorder="1"/>
    <xf numFmtId="165" fontId="11" fillId="2" borderId="0" xfId="0" applyNumberFormat="1" applyFont="1" applyFill="1"/>
    <xf numFmtId="167" fontId="11" fillId="2" borderId="0" xfId="0" applyNumberFormat="1" applyFont="1" applyFill="1"/>
    <xf numFmtId="167" fontId="10" fillId="2" borderId="0" xfId="0" applyNumberFormat="1" applyFont="1" applyFill="1"/>
    <xf numFmtId="9" fontId="11" fillId="2" borderId="0" xfId="0" applyNumberFormat="1" applyFont="1" applyFill="1"/>
    <xf numFmtId="10" fontId="11" fillId="2" borderId="0" xfId="0" applyNumberFormat="1" applyFont="1" applyFill="1"/>
    <xf numFmtId="166" fontId="11" fillId="2" borderId="0" xfId="0" applyNumberFormat="1" applyFont="1" applyFill="1"/>
    <xf numFmtId="0" fontId="12" fillId="5" borderId="3" xfId="0" applyFont="1" applyFill="1" applyBorder="1"/>
    <xf numFmtId="9" fontId="7" fillId="4" borderId="2" xfId="0" applyNumberFormat="1" applyFont="1" applyFill="1" applyBorder="1"/>
    <xf numFmtId="10" fontId="7" fillId="4" borderId="2" xfId="0" applyNumberFormat="1" applyFont="1" applyFill="1" applyBorder="1"/>
    <xf numFmtId="9" fontId="13" fillId="4" borderId="2" xfId="0" applyNumberFormat="1" applyFont="1" applyFill="1" applyBorder="1"/>
    <xf numFmtId="169" fontId="12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4" fontId="5" fillId="3" borderId="5" xfId="0" applyNumberFormat="1" applyFont="1" applyFill="1" applyBorder="1"/>
    <xf numFmtId="165" fontId="14" fillId="2" borderId="0" xfId="0" applyNumberFormat="1" applyFont="1" applyFill="1"/>
    <xf numFmtId="166" fontId="5" fillId="4" borderId="1" xfId="0" applyNumberFormat="1" applyFont="1" applyFill="1" applyBorder="1"/>
    <xf numFmtId="165" fontId="6" fillId="2" borderId="0" xfId="0" applyNumberFormat="1" applyFont="1" applyFill="1"/>
    <xf numFmtId="9" fontId="10" fillId="2" borderId="0" xfId="0" applyNumberFormat="1" applyFont="1" applyFill="1"/>
    <xf numFmtId="164" fontId="5" fillId="3" borderId="2" xfId="0" applyNumberFormat="1" applyFont="1" applyFill="1" applyBorder="1"/>
    <xf numFmtId="166" fontId="10" fillId="2" borderId="3" xfId="0" applyNumberFormat="1" applyFont="1" applyFill="1" applyBorder="1"/>
    <xf numFmtId="1" fontId="10" fillId="2" borderId="0" xfId="0" applyNumberFormat="1" applyFont="1" applyFill="1"/>
    <xf numFmtId="0" fontId="12" fillId="2" borderId="3" xfId="0" applyFont="1" applyFill="1" applyBorder="1" applyAlignment="1">
      <alignment horizontal="left"/>
    </xf>
    <xf numFmtId="168" fontId="11" fillId="2" borderId="3" xfId="0" applyNumberFormat="1" applyFont="1" applyFill="1" applyBorder="1"/>
    <xf numFmtId="3" fontId="11" fillId="2" borderId="3" xfId="0" applyNumberFormat="1" applyFont="1" applyFill="1" applyBorder="1"/>
    <xf numFmtId="167" fontId="11" fillId="2" borderId="3" xfId="0" applyNumberFormat="1" applyFont="1" applyFill="1" applyBorder="1"/>
    <xf numFmtId="3" fontId="6" fillId="2" borderId="3" xfId="0" applyNumberFormat="1" applyFont="1" applyFill="1" applyBorder="1"/>
    <xf numFmtId="0" fontId="8" fillId="2" borderId="3" xfId="0" applyFont="1" applyFill="1" applyBorder="1" applyAlignment="1">
      <alignment horizontal="center"/>
    </xf>
    <xf numFmtId="164" fontId="11" fillId="2" borderId="3" xfId="0" applyNumberFormat="1" applyFont="1" applyFill="1" applyBorder="1"/>
    <xf numFmtId="10" fontId="11" fillId="2" borderId="3" xfId="0" applyNumberFormat="1" applyFont="1" applyFill="1" applyBorder="1"/>
    <xf numFmtId="10" fontId="6" fillId="2" borderId="3" xfId="0" applyNumberFormat="1" applyFont="1" applyFill="1" applyBorder="1"/>
    <xf numFmtId="0" fontId="12" fillId="5" borderId="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17" fontId="8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D39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34" customWidth="1"/>
    <col min="2" max="2" width="16" customWidth="1"/>
    <col min="3" max="5" width="12" customWidth="1"/>
  </cols>
  <sheetData>
    <row r="1" spans="1:4" x14ac:dyDescent="0.25">
      <c r="A1" s="1" t="s">
        <v>0</v>
      </c>
      <c r="D1" s="2" t="s">
        <v>1</v>
      </c>
    </row>
    <row r="2" spans="1:4" x14ac:dyDescent="0.25">
      <c r="A2" s="3" t="s">
        <v>2</v>
      </c>
    </row>
    <row r="3" spans="1:4" x14ac:dyDescent="0.25">
      <c r="A3" s="4" t="s">
        <v>3</v>
      </c>
    </row>
    <row r="4" spans="1:4" x14ac:dyDescent="0.25">
      <c r="A4" s="5" t="s">
        <v>4</v>
      </c>
      <c r="B4" s="6" t="s">
        <v>5</v>
      </c>
      <c r="C4" s="7"/>
      <c r="D4" s="7"/>
    </row>
    <row r="5" spans="1:4" x14ac:dyDescent="0.25"/>
    <row r="6" spans="1:4" x14ac:dyDescent="0.25">
      <c r="A6" s="8" t="s">
        <v>6</v>
      </c>
      <c r="B6" s="9"/>
      <c r="C6" s="9"/>
      <c r="D6" s="9"/>
    </row>
    <row r="7" spans="1:4" x14ac:dyDescent="0.25">
      <c r="A7" t="s">
        <v>7</v>
      </c>
      <c r="B7" s="10" t="s">
        <v>8</v>
      </c>
    </row>
    <row r="8" spans="1:4" x14ac:dyDescent="0.25">
      <c r="A8" t="s">
        <v>9</v>
      </c>
      <c r="B8" s="11" t="str">
        <f>"Vacant 1988 warehouse — "&amp;TEXT(Assumptions!B4,"#,##0")&amp;" SF; conversion to small-bay commercial storage / flex"</f>
        <v>Vacant 1988 warehouse — 84000,##0 SF; conversion to small-bay commercial storage / flex</v>
      </c>
    </row>
    <row r="9" spans="1:4" x14ac:dyDescent="0.25">
      <c r="A9" t="s">
        <v>10</v>
      </c>
      <c r="B9" s="10" t="s">
        <v>11</v>
      </c>
    </row>
    <row r="10" spans="1:4" x14ac:dyDescent="0.25">
      <c r="A10" t="s">
        <v>12</v>
      </c>
      <c r="B10" s="10" t="s">
        <v>13</v>
      </c>
    </row>
    <row r="11" spans="1:4" x14ac:dyDescent="0.25">
      <c r="A11" s="8" t="s">
        <v>14</v>
      </c>
      <c r="B11" s="9"/>
      <c r="C11" s="9"/>
      <c r="D11" s="9"/>
    </row>
    <row r="12" spans="1:4" x14ac:dyDescent="0.25">
      <c r="A12" t="s">
        <v>15</v>
      </c>
      <c r="B12" s="12">
        <f>'Debt Sizing'!B20</f>
        <v>9529390</v>
      </c>
    </row>
    <row r="13" spans="1:4" x14ac:dyDescent="0.25">
      <c r="A13" t="s">
        <v>16</v>
      </c>
      <c r="B13" s="13">
        <f>'Debt Sizing'!B21</f>
        <v>0.65</v>
      </c>
    </row>
    <row r="14" spans="1:4" x14ac:dyDescent="0.25">
      <c r="A14" t="s">
        <v>17</v>
      </c>
      <c r="B14" s="14">
        <f>'Debt Sizing'!B15</f>
        <v>6480000</v>
      </c>
    </row>
    <row r="15" spans="1:4" x14ac:dyDescent="0.25">
      <c r="A15" t="s">
        <v>18</v>
      </c>
      <c r="B15" s="14">
        <f>'Debt Sizing'!B16</f>
        <v>3049390</v>
      </c>
    </row>
    <row r="16" spans="1:4" x14ac:dyDescent="0.25">
      <c r="A16" t="s">
        <v>19</v>
      </c>
      <c r="B16" s="10" t="s">
        <v>20</v>
      </c>
    </row>
    <row r="17" spans="1:4" x14ac:dyDescent="0.25">
      <c r="A17" t="s">
        <v>21</v>
      </c>
      <c r="B17" s="15">
        <f>SOFR!E43</f>
        <v>0.0773</v>
      </c>
    </row>
    <row r="18" spans="1:4" x14ac:dyDescent="0.25">
      <c r="A18" t="s">
        <v>22</v>
      </c>
      <c r="B18" s="16">
        <f>'CF - Base'!D36</f>
        <v>1.8433319025</v>
      </c>
    </row>
    <row r="19" spans="1:4" x14ac:dyDescent="0.25">
      <c r="A19" t="s">
        <v>23</v>
      </c>
      <c r="B19" s="13">
        <f>'CF - Base'!D37</f>
        <v>0.14248955606</v>
      </c>
    </row>
    <row r="20" spans="1:4" x14ac:dyDescent="0.25">
      <c r="A20" t="s">
        <v>24</v>
      </c>
      <c r="B20" s="10" t="s">
        <v>25</v>
      </c>
    </row>
    <row r="21" spans="1:4" x14ac:dyDescent="0.25"/>
    <row r="22" spans="1:4" x14ac:dyDescent="0.25">
      <c r="A22" s="8" t="s">
        <v>26</v>
      </c>
      <c r="B22" s="9"/>
      <c r="C22" s="9"/>
      <c r="D22" s="9"/>
    </row>
    <row r="23" spans="1:4" x14ac:dyDescent="0.25">
      <c r="A23" s="17" t="s">
        <v>27</v>
      </c>
      <c r="B23" s="18" t="s">
        <v>28</v>
      </c>
      <c r="C23" s="18" t="s">
        <v>29</v>
      </c>
      <c r="D23" s="18" t="s">
        <v>30</v>
      </c>
    </row>
    <row r="24" spans="1:4" x14ac:dyDescent="0.25">
      <c r="A24" s="19" t="s">
        <v>31</v>
      </c>
      <c r="B24" s="20">
        <f>'Debt Sizing'!B20</f>
        <v>9529390</v>
      </c>
      <c r="C24" s="21">
        <f>B24/B$26</f>
        <v>0.65</v>
      </c>
      <c r="D24" s="22">
        <f>B24/Assumptions!$B$4</f>
        <v>113.44511905</v>
      </c>
    </row>
    <row r="25" spans="1:4" x14ac:dyDescent="0.25">
      <c r="A25" s="19" t="s">
        <v>32</v>
      </c>
      <c r="B25" s="20">
        <f>B32-B24</f>
        <v>5131210</v>
      </c>
      <c r="C25" s="21">
        <f>B25/B$26</f>
        <v>0.35</v>
      </c>
      <c r="D25" s="22">
        <f>B25/Assumptions!$B$4</f>
        <v>61.085833333</v>
      </c>
    </row>
    <row r="26" spans="1:4" x14ac:dyDescent="0.25">
      <c r="A26" s="17" t="s">
        <v>33</v>
      </c>
      <c r="B26" s="23">
        <f>SUM(B24:B25)</f>
        <v>14660600</v>
      </c>
      <c r="C26" s="24">
        <f>SUM(C24:C25)</f>
        <v>1</v>
      </c>
      <c r="D26" s="25">
        <f>B26/Assumptions!$B$4</f>
        <v>174.53095238</v>
      </c>
    </row>
    <row r="27" spans="1:4" x14ac:dyDescent="0.25"/>
    <row r="28" spans="1:4" x14ac:dyDescent="0.25">
      <c r="A28" s="17" t="s">
        <v>34</v>
      </c>
      <c r="B28" s="18" t="s">
        <v>28</v>
      </c>
      <c r="C28" s="18" t="s">
        <v>29</v>
      </c>
      <c r="D28" s="18" t="s">
        <v>30</v>
      </c>
    </row>
    <row r="29" spans="1:4" x14ac:dyDescent="0.25">
      <c r="A29" s="19" t="s">
        <v>35</v>
      </c>
      <c r="B29" s="20">
        <f>Assumptions!B12</f>
        <v>10800000</v>
      </c>
      <c r="C29" s="21">
        <f>B29/B$32</f>
        <v>0.73666834918</v>
      </c>
      <c r="D29" s="22">
        <f>B29/Assumptions!$B$4</f>
        <v>128.57142857</v>
      </c>
    </row>
    <row r="30" spans="1:4" x14ac:dyDescent="0.25">
      <c r="A30" s="19" t="s">
        <v>36</v>
      </c>
      <c r="B30" s="20">
        <f>Assumptions!B17</f>
        <v>960600</v>
      </c>
      <c r="C30" s="21">
        <f>B30/B$32</f>
        <v>0.065522557058</v>
      </c>
      <c r="D30" s="22">
        <f>B30/Assumptions!$B$4</f>
        <v>11.435714286</v>
      </c>
    </row>
    <row r="31" spans="1:4" x14ac:dyDescent="0.25">
      <c r="A31" s="19" t="s">
        <v>37</v>
      </c>
      <c r="B31" s="20">
        <f>Assumptions!B20</f>
        <v>2900000</v>
      </c>
      <c r="C31" s="21">
        <f>B31/B$32</f>
        <v>0.19780909376</v>
      </c>
      <c r="D31" s="22">
        <f>B31/Assumptions!$B$4</f>
        <v>34.523809524</v>
      </c>
    </row>
    <row r="32" spans="1:4" x14ac:dyDescent="0.25">
      <c r="A32" s="17" t="s">
        <v>38</v>
      </c>
      <c r="B32" s="23">
        <f>SUM(B29:B31)</f>
        <v>14660600</v>
      </c>
      <c r="C32" s="24">
        <f>SUM(C29:C31)</f>
        <v>1</v>
      </c>
      <c r="D32" s="25">
        <f>B32/Assumptions!$B$4</f>
        <v>174.53095238</v>
      </c>
    </row>
    <row r="33" spans="1:4" x14ac:dyDescent="0.25"/>
    <row r="34" spans="1:4" x14ac:dyDescent="0.25">
      <c r="A34" s="8" t="s">
        <v>39</v>
      </c>
      <c r="B34" s="9"/>
      <c r="C34" s="9"/>
      <c r="D34" s="9"/>
    </row>
    <row r="35" spans="1:4" x14ac:dyDescent="0.25">
      <c r="A35" t="s">
        <v>40</v>
      </c>
      <c r="B35" s="14">
        <f>'CF - Base'!D31</f>
        <v>1357838.5507</v>
      </c>
    </row>
    <row r="36" spans="1:4" x14ac:dyDescent="0.25">
      <c r="A36" s="11" t="str">
        <f>"Stabilized value @ "&amp;TEXT(Assumptions!B36,"0.00%")&amp;" cap"</f>
        <v>Stabilized value @ 0.07% cap</v>
      </c>
      <c r="B36" s="14">
        <f>'CF - Base'!B43</f>
        <v>20116126.676</v>
      </c>
    </row>
    <row r="37" spans="1:4" x14ac:dyDescent="0.25">
      <c r="A37" t="s">
        <v>41</v>
      </c>
      <c r="B37" s="13">
        <f>'Debt Sizing'!B22</f>
        <v>0.47371892976</v>
      </c>
    </row>
    <row r="38" spans="1:4" x14ac:dyDescent="0.25">
      <c r="A38" t="s">
        <v>42</v>
      </c>
      <c r="B38" s="13">
        <f>'Debt Sizing'!B23</f>
        <v>0.79411583333</v>
      </c>
    </row>
    <row r="39" spans="1:4" x14ac:dyDescent="0.25">
      <c r="A39" t="s">
        <v>43</v>
      </c>
      <c r="B39" s="13">
        <f>'CF - Base'!B43/B32-1</f>
        <v>0.37212165098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C18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0" customWidth="1"/>
    <col min="2" max="2" width="16" customWidth="1"/>
    <col min="3" max="3" width="14" customWidth="1"/>
  </cols>
  <sheetData>
    <row r="1" spans="1:3" x14ac:dyDescent="0.25">
      <c r="A1" s="1" t="s">
        <v>261</v>
      </c>
    </row>
    <row r="2" spans="1:3" x14ac:dyDescent="0.25">
      <c r="A2" s="3" t="s">
        <v>2</v>
      </c>
    </row>
    <row r="3" spans="1:3" x14ac:dyDescent="0.25">
      <c r="A3" s="8" t="s">
        <v>262</v>
      </c>
      <c r="B3" s="9"/>
      <c r="C3" s="9"/>
    </row>
    <row r="4" spans="1:3" x14ac:dyDescent="0.25">
      <c r="A4" s="17" t="s">
        <v>263</v>
      </c>
      <c r="B4" s="18" t="s">
        <v>226</v>
      </c>
      <c r="C4" s="18" t="s">
        <v>161</v>
      </c>
    </row>
    <row r="5" spans="1:3" x14ac:dyDescent="0.25">
      <c r="A5" s="17" t="s">
        <v>264</v>
      </c>
      <c r="B5" s="52">
        <v>3.2</v>
      </c>
      <c r="C5" s="40">
        <v>0.92</v>
      </c>
    </row>
    <row r="6" spans="1:3" x14ac:dyDescent="0.25">
      <c r="A6" s="17" t="s">
        <v>265</v>
      </c>
      <c r="B6" s="52">
        <v>4.8</v>
      </c>
      <c r="C6" s="40">
        <v>0.88</v>
      </c>
    </row>
    <row r="7" spans="1:3" x14ac:dyDescent="0.25">
      <c r="A7" s="17" t="s">
        <v>266</v>
      </c>
      <c r="B7" s="52">
        <v>2.1</v>
      </c>
      <c r="C7" s="40">
        <v>0.95</v>
      </c>
    </row>
    <row r="8" spans="1:3" x14ac:dyDescent="0.25">
      <c r="A8" s="17" t="s">
        <v>267</v>
      </c>
      <c r="B8" s="52">
        <v>5.5</v>
      </c>
      <c r="C8" s="40">
        <v>0.9</v>
      </c>
    </row>
    <row r="9" spans="1:3" x14ac:dyDescent="0.25">
      <c r="A9" s="17" t="s">
        <v>268</v>
      </c>
      <c r="B9" s="52">
        <v>7</v>
      </c>
      <c r="C9" s="40">
        <v>0.86</v>
      </c>
    </row>
    <row r="10" spans="1:3" x14ac:dyDescent="0.25"/>
    <row r="11" spans="1:3" x14ac:dyDescent="0.25">
      <c r="A11" s="8" t="s">
        <v>269</v>
      </c>
      <c r="B11" s="9"/>
      <c r="C11" s="9"/>
    </row>
    <row r="12" spans="1:3" x14ac:dyDescent="0.25">
      <c r="A12" s="17" t="s">
        <v>270</v>
      </c>
      <c r="B12" s="17" t="s">
        <v>271</v>
      </c>
      <c r="C12" s="18" t="s">
        <v>228</v>
      </c>
    </row>
    <row r="13" spans="1:3" x14ac:dyDescent="0.25">
      <c r="A13" s="17" t="s">
        <v>272</v>
      </c>
      <c r="B13" s="17" t="s">
        <v>273</v>
      </c>
      <c r="C13" s="54">
        <v>26.4</v>
      </c>
    </row>
    <row r="14" spans="1:3" x14ac:dyDescent="0.25">
      <c r="A14" s="17" t="s">
        <v>274</v>
      </c>
      <c r="B14" s="17" t="s">
        <v>273</v>
      </c>
      <c r="C14" s="54">
        <v>24.9</v>
      </c>
    </row>
    <row r="15" spans="1:3" x14ac:dyDescent="0.25">
      <c r="A15" s="17" t="s">
        <v>275</v>
      </c>
      <c r="B15" s="17" t="s">
        <v>273</v>
      </c>
      <c r="C15" s="54">
        <v>28.75</v>
      </c>
    </row>
    <row r="16" spans="1:3" x14ac:dyDescent="0.25">
      <c r="A16" s="17" t="s">
        <v>276</v>
      </c>
      <c r="B16" s="17" t="s">
        <v>273</v>
      </c>
      <c r="C16" s="54">
        <v>21.1</v>
      </c>
    </row>
    <row r="17" spans="1:3" x14ac:dyDescent="0.25">
      <c r="A17" s="17" t="s">
        <v>277</v>
      </c>
      <c r="B17" s="17" t="s">
        <v>278</v>
      </c>
      <c r="C17" s="54">
        <v>20.3</v>
      </c>
    </row>
    <row r="18" spans="1:3" x14ac:dyDescent="0.25">
      <c r="A18" s="17" t="s">
        <v>279</v>
      </c>
      <c r="B18" s="17" t="s">
        <v>273</v>
      </c>
      <c r="C18" s="54">
        <v>22.6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Q43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34" customWidth="1"/>
    <col min="2" max="2" width="26" customWidth="1"/>
    <col min="3" max="6" width="11" customWidth="1"/>
    <col min="7" max="15" width="12.5" customWidth="1"/>
    <col min="16" max="17" width="14" customWidth="1"/>
  </cols>
  <sheetData>
    <row r="1" spans="1:17" x14ac:dyDescent="0.25">
      <c r="A1" s="1" t="s">
        <v>280</v>
      </c>
    </row>
    <row r="2" spans="1:17" x14ac:dyDescent="0.25">
      <c r="A2" s="3" t="s">
        <v>2</v>
      </c>
    </row>
    <row r="3" spans="1:17" x14ac:dyDescent="0.25"/>
    <row r="4" spans="1:17" x14ac:dyDescent="0.25">
      <c r="A4" t="s">
        <v>281</v>
      </c>
      <c r="B4" s="10" t="s">
        <v>282</v>
      </c>
    </row>
    <row r="5" spans="1:17" x14ac:dyDescent="0.25">
      <c r="A5" t="s">
        <v>283</v>
      </c>
      <c r="B5" s="35">
        <v>0.0375</v>
      </c>
    </row>
    <row r="6" spans="1:17" x14ac:dyDescent="0.25"/>
    <row r="7" spans="1:17" x14ac:dyDescent="0.25">
      <c r="A7" t="s">
        <v>284</v>
      </c>
      <c r="B7" s="4" t="s">
        <v>285</v>
      </c>
    </row>
    <row r="8" spans="1:17" x14ac:dyDescent="0.25">
      <c r="O8" s="60" t="s">
        <v>286</v>
      </c>
      <c r="P8" s="60" t="s">
        <v>282</v>
      </c>
      <c r="Q8" s="60" t="s">
        <v>287</v>
      </c>
    </row>
    <row r="9" spans="1:17" x14ac:dyDescent="0.25">
      <c r="A9" s="4" t="s">
        <v>288</v>
      </c>
      <c r="B9" s="61" t="s">
        <v>239</v>
      </c>
      <c r="C9" s="61" t="s">
        <v>239</v>
      </c>
      <c r="D9" s="61" t="s">
        <v>239</v>
      </c>
      <c r="E9" s="61" t="s">
        <v>239</v>
      </c>
      <c r="F9" s="61" t="s">
        <v>239</v>
      </c>
      <c r="G9" s="61" t="s">
        <v>239</v>
      </c>
      <c r="H9" s="61" t="s">
        <v>239</v>
      </c>
      <c r="I9" s="61" t="s">
        <v>239</v>
      </c>
      <c r="J9" s="61" t="s">
        <v>239</v>
      </c>
      <c r="K9" s="61" t="s">
        <v>239</v>
      </c>
      <c r="L9" s="61" t="s">
        <v>239</v>
      </c>
      <c r="M9" s="61" t="s">
        <v>239</v>
      </c>
      <c r="N9" s="61" t="s">
        <v>239</v>
      </c>
      <c r="O9" s="62">
        <v>46204</v>
      </c>
      <c r="P9" s="58">
        <v>0.0372</v>
      </c>
      <c r="Q9" s="58">
        <v>0.0374</v>
      </c>
    </row>
    <row r="10" spans="1:17" x14ac:dyDescent="0.25">
      <c r="O10" s="62">
        <v>46235</v>
      </c>
      <c r="P10" s="58">
        <v>0.0374</v>
      </c>
      <c r="Q10" s="58">
        <v>0.0376</v>
      </c>
    </row>
    <row r="11" spans="1:17" x14ac:dyDescent="0.25">
      <c r="O11" s="62">
        <v>46266</v>
      </c>
      <c r="P11" s="58">
        <v>0.0376</v>
      </c>
      <c r="Q11" s="58">
        <v>0.0378</v>
      </c>
    </row>
    <row r="12" spans="1:17" x14ac:dyDescent="0.25">
      <c r="O12" s="62">
        <v>46296</v>
      </c>
      <c r="P12" s="58">
        <v>0.0379</v>
      </c>
      <c r="Q12" s="58">
        <v>0.0381</v>
      </c>
    </row>
    <row r="13" spans="1:17" x14ac:dyDescent="0.25">
      <c r="O13" s="62">
        <v>46327</v>
      </c>
      <c r="P13" s="58">
        <v>0.0381</v>
      </c>
      <c r="Q13" s="58">
        <v>0.0383</v>
      </c>
    </row>
    <row r="14" spans="1:17" x14ac:dyDescent="0.25">
      <c r="O14" s="62">
        <v>46357</v>
      </c>
      <c r="P14" s="58">
        <v>0.0383</v>
      </c>
      <c r="Q14" s="58">
        <v>0.0385</v>
      </c>
    </row>
    <row r="15" spans="1:17" x14ac:dyDescent="0.25">
      <c r="O15" s="62">
        <v>46388</v>
      </c>
      <c r="P15" s="58">
        <v>0.0385</v>
      </c>
      <c r="Q15" s="58">
        <v>0.0387</v>
      </c>
    </row>
    <row r="16" spans="1:17" x14ac:dyDescent="0.25">
      <c r="O16" s="62">
        <v>46419</v>
      </c>
      <c r="P16" s="58">
        <v>0.0387</v>
      </c>
      <c r="Q16" s="58">
        <v>0.0389</v>
      </c>
    </row>
    <row r="17" spans="1:17" x14ac:dyDescent="0.25">
      <c r="O17" s="62">
        <v>46447</v>
      </c>
      <c r="P17" s="58">
        <v>0.0388</v>
      </c>
      <c r="Q17" s="58">
        <v>0.039</v>
      </c>
    </row>
    <row r="18" spans="1:17" x14ac:dyDescent="0.25">
      <c r="O18" s="62">
        <v>46478</v>
      </c>
      <c r="P18" s="58">
        <v>0.039</v>
      </c>
      <c r="Q18" s="58">
        <v>0.0392</v>
      </c>
    </row>
    <row r="19" spans="1:17" x14ac:dyDescent="0.25">
      <c r="O19" s="62">
        <v>46508</v>
      </c>
      <c r="P19" s="58">
        <v>0.0391</v>
      </c>
      <c r="Q19" s="58">
        <v>0.0393</v>
      </c>
    </row>
    <row r="20" spans="1:17" x14ac:dyDescent="0.25">
      <c r="O20" s="62">
        <v>46539</v>
      </c>
      <c r="P20" s="58">
        <v>0.0392</v>
      </c>
      <c r="Q20" s="58">
        <v>0.0394</v>
      </c>
    </row>
    <row r="21" spans="1:17" x14ac:dyDescent="0.25">
      <c r="O21" s="62">
        <v>46569</v>
      </c>
      <c r="P21" s="58">
        <v>0.0393</v>
      </c>
      <c r="Q21" s="58">
        <v>0.0395</v>
      </c>
    </row>
    <row r="22" spans="1:17" x14ac:dyDescent="0.25">
      <c r="O22" s="62">
        <v>46600</v>
      </c>
      <c r="P22" s="58">
        <v>0.0394</v>
      </c>
      <c r="Q22" s="58">
        <v>0.0396</v>
      </c>
    </row>
    <row r="23" spans="1:17" x14ac:dyDescent="0.25">
      <c r="O23" s="62">
        <v>46631</v>
      </c>
      <c r="P23" s="58">
        <v>0.0395</v>
      </c>
      <c r="Q23" s="58">
        <v>0.0397</v>
      </c>
    </row>
    <row r="24" spans="1:17" x14ac:dyDescent="0.25">
      <c r="O24" s="62">
        <v>46661</v>
      </c>
      <c r="P24" s="58">
        <v>0.0395</v>
      </c>
      <c r="Q24" s="58">
        <v>0.0397</v>
      </c>
    </row>
    <row r="25" spans="1:17" x14ac:dyDescent="0.25">
      <c r="O25" s="62">
        <v>46692</v>
      </c>
      <c r="P25" s="58">
        <v>0.0396</v>
      </c>
      <c r="Q25" s="58">
        <v>0.0398</v>
      </c>
    </row>
    <row r="26" spans="1:17" x14ac:dyDescent="0.25">
      <c r="O26" s="62">
        <v>46722</v>
      </c>
      <c r="P26" s="58">
        <v>0.0396</v>
      </c>
      <c r="Q26" s="58">
        <v>0.0398</v>
      </c>
    </row>
    <row r="27" spans="1:17" x14ac:dyDescent="0.25">
      <c r="O27" s="62">
        <v>46753</v>
      </c>
      <c r="P27" s="58">
        <v>0.0397</v>
      </c>
      <c r="Q27" s="58">
        <v>0.0399</v>
      </c>
    </row>
    <row r="28" spans="1:17" x14ac:dyDescent="0.25">
      <c r="O28" s="62">
        <v>46784</v>
      </c>
      <c r="P28" s="58">
        <v>0.0397</v>
      </c>
      <c r="Q28" s="58">
        <v>0.0399</v>
      </c>
    </row>
    <row r="29" spans="1:17" x14ac:dyDescent="0.25">
      <c r="O29" s="62">
        <v>46813</v>
      </c>
      <c r="P29" s="58">
        <v>0.0398</v>
      </c>
      <c r="Q29" s="58">
        <v>0.04</v>
      </c>
    </row>
    <row r="30" spans="1:17" x14ac:dyDescent="0.25">
      <c r="O30" s="62">
        <v>46844</v>
      </c>
      <c r="P30" s="58">
        <v>0.0398</v>
      </c>
      <c r="Q30" s="58">
        <v>0.04</v>
      </c>
    </row>
    <row r="31" spans="1:17" x14ac:dyDescent="0.25">
      <c r="O31" s="62">
        <v>46874</v>
      </c>
      <c r="P31" s="58">
        <v>0.0398</v>
      </c>
      <c r="Q31" s="58">
        <v>0.04</v>
      </c>
    </row>
    <row r="32" spans="1:17" x14ac:dyDescent="0.25">
      <c r="O32" s="62">
        <v>46905</v>
      </c>
      <c r="P32" s="58">
        <v>0.0398</v>
      </c>
      <c r="Q32" s="58">
        <v>0.04</v>
      </c>
    </row>
    <row r="33" spans="1:17" x14ac:dyDescent="0.25"/>
    <row r="34" spans="1:17" x14ac:dyDescent="0.25"/>
    <row r="35" spans="1:17" x14ac:dyDescent="0.25"/>
    <row r="36" spans="1:17" x14ac:dyDescent="0.25"/>
    <row r="37" spans="1:17" x14ac:dyDescent="0.25"/>
    <row r="38" spans="1:17" x14ac:dyDescent="0.25"/>
    <row r="39" spans="1:17" x14ac:dyDescent="0.25"/>
    <row r="40" spans="1:17" x14ac:dyDescent="0.25"/>
    <row r="41" spans="1:17" x14ac:dyDescent="0.25"/>
    <row r="42" spans="1:17" x14ac:dyDescent="0.25">
      <c r="B42" s="17" t="s">
        <v>289</v>
      </c>
      <c r="C42" s="18" t="s">
        <v>290</v>
      </c>
      <c r="D42" s="18" t="s">
        <v>291</v>
      </c>
      <c r="E42" s="18" t="s">
        <v>292</v>
      </c>
      <c r="F42" s="18" t="s">
        <v>293</v>
      </c>
    </row>
    <row r="43" spans="1:17" x14ac:dyDescent="0.25">
      <c r="B43" s="17" t="s">
        <v>294</v>
      </c>
      <c r="C43" s="59">
        <f>AVERAGE(P11:P22)+$B$5</f>
        <v>0.076158333333</v>
      </c>
      <c r="D43" s="59">
        <f>AVERAGE(P23:P32)+$B$5</f>
        <v>0.07718</v>
      </c>
      <c r="E43" s="59">
        <f>AVERAGE(P29:P32)+$B$5</f>
        <v>0.0773</v>
      </c>
      <c r="F43" s="59">
        <f>AVERAGE(P29:P32)+$B$5</f>
        <v>0.0773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D57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4" customWidth="1"/>
    <col min="2" max="2" width="15" customWidth="1"/>
    <col min="3" max="3" width="12.5" customWidth="1"/>
    <col min="4" max="4" width="34" customWidth="1"/>
  </cols>
  <sheetData>
    <row r="1" spans="1:4" x14ac:dyDescent="0.25">
      <c r="A1" s="1" t="s">
        <v>44</v>
      </c>
      <c r="D1" s="2" t="s">
        <v>1</v>
      </c>
    </row>
    <row r="2" spans="1:4" x14ac:dyDescent="0.25">
      <c r="A2" s="3" t="s">
        <v>45</v>
      </c>
    </row>
    <row r="3" spans="1:4" x14ac:dyDescent="0.25">
      <c r="A3" s="8" t="s">
        <v>46</v>
      </c>
      <c r="B3" s="9"/>
      <c r="C3" s="9"/>
      <c r="D3" s="9"/>
    </row>
    <row r="4" spans="1:4" x14ac:dyDescent="0.25">
      <c r="A4" t="s">
        <v>47</v>
      </c>
      <c r="B4" s="26">
        <v>84000</v>
      </c>
    </row>
    <row r="5" spans="1:4" x14ac:dyDescent="0.25">
      <c r="A5" t="s">
        <v>48</v>
      </c>
      <c r="B5" s="27">
        <v>4.6</v>
      </c>
    </row>
    <row r="6" spans="1:4" x14ac:dyDescent="0.25">
      <c r="A6" t="s">
        <v>49</v>
      </c>
      <c r="B6" s="28">
        <v>1988</v>
      </c>
    </row>
    <row r="7" spans="1:4" x14ac:dyDescent="0.25">
      <c r="A7" t="s">
        <v>50</v>
      </c>
      <c r="B7" s="28">
        <v>21</v>
      </c>
    </row>
    <row r="8" spans="1:4" x14ac:dyDescent="0.25">
      <c r="A8" t="s">
        <v>51</v>
      </c>
      <c r="B8" s="10" t="s">
        <v>52</v>
      </c>
    </row>
    <row r="9" spans="1:4" x14ac:dyDescent="0.25"/>
    <row r="10" spans="1:4" x14ac:dyDescent="0.25"/>
    <row r="11" spans="1:4" x14ac:dyDescent="0.25">
      <c r="A11" s="8" t="s">
        <v>53</v>
      </c>
      <c r="B11" s="9"/>
      <c r="C11" s="9"/>
      <c r="D11" s="9"/>
    </row>
    <row r="12" spans="1:4" x14ac:dyDescent="0.25">
      <c r="A12" t="s">
        <v>54</v>
      </c>
      <c r="B12" s="29">
        <v>10800000</v>
      </c>
    </row>
    <row r="13" spans="1:4" x14ac:dyDescent="0.25">
      <c r="A13" t="s">
        <v>55</v>
      </c>
      <c r="B13" s="14">
        <f>B12*0.7%</f>
        <v>75600</v>
      </c>
    </row>
    <row r="14" spans="1:4" x14ac:dyDescent="0.25">
      <c r="A14" t="s">
        <v>56</v>
      </c>
      <c r="B14" s="29">
        <v>260000</v>
      </c>
    </row>
    <row r="15" spans="1:4" x14ac:dyDescent="0.25">
      <c r="A15" t="s">
        <v>57</v>
      </c>
      <c r="B15" s="29">
        <v>480000</v>
      </c>
    </row>
    <row r="16" spans="1:4" x14ac:dyDescent="0.25">
      <c r="A16" t="s">
        <v>58</v>
      </c>
      <c r="B16" s="14">
        <f>B20*5%</f>
        <v>145000</v>
      </c>
    </row>
    <row r="17" spans="1:4" x14ac:dyDescent="0.25">
      <c r="A17" s="6" t="s">
        <v>59</v>
      </c>
      <c r="B17" s="30">
        <f>SUM(B13:B16)</f>
        <v>960600</v>
      </c>
    </row>
    <row r="18" spans="1:4" x14ac:dyDescent="0.25">
      <c r="A18" t="s">
        <v>60</v>
      </c>
      <c r="B18" s="29">
        <v>2610000</v>
      </c>
    </row>
    <row r="19" spans="1:4" x14ac:dyDescent="0.25">
      <c r="A19" t="s">
        <v>61</v>
      </c>
      <c r="B19" s="29">
        <v>290000</v>
      </c>
    </row>
    <row r="20" spans="1:4" x14ac:dyDescent="0.25">
      <c r="A20" s="6" t="s">
        <v>62</v>
      </c>
      <c r="B20" s="30">
        <f>B18+B19</f>
        <v>2900000</v>
      </c>
    </row>
    <row r="21" spans="1:4" x14ac:dyDescent="0.25">
      <c r="A21" t="s">
        <v>63</v>
      </c>
      <c r="B21" s="28">
        <v>7</v>
      </c>
    </row>
    <row r="22" spans="1:4" x14ac:dyDescent="0.25"/>
    <row r="23" spans="1:4" x14ac:dyDescent="0.25">
      <c r="A23" s="8" t="s">
        <v>64</v>
      </c>
      <c r="B23" s="9"/>
      <c r="C23" s="9"/>
      <c r="D23" s="9"/>
    </row>
    <row r="24" spans="1:4" x14ac:dyDescent="0.25">
      <c r="A24" t="s">
        <v>65</v>
      </c>
      <c r="B24" s="31">
        <v>0.09</v>
      </c>
    </row>
    <row r="25" spans="1:4" x14ac:dyDescent="0.25">
      <c r="A25" t="s">
        <v>66</v>
      </c>
      <c r="B25" s="31">
        <v>0.03</v>
      </c>
    </row>
    <row r="26" spans="1:4" x14ac:dyDescent="0.25"/>
    <row r="27" spans="1:4" x14ac:dyDescent="0.25">
      <c r="A27" s="8" t="s">
        <v>67</v>
      </c>
      <c r="B27" s="9"/>
      <c r="C27" s="9"/>
      <c r="D27" s="9"/>
    </row>
    <row r="28" spans="1:4" x14ac:dyDescent="0.25">
      <c r="A28" t="s">
        <v>68</v>
      </c>
      <c r="B28" s="32">
        <v>9.75</v>
      </c>
    </row>
    <row r="29" spans="1:4" x14ac:dyDescent="0.25">
      <c r="A29" t="s">
        <v>69</v>
      </c>
      <c r="B29" s="31">
        <v>0.048</v>
      </c>
    </row>
    <row r="30" spans="1:4" x14ac:dyDescent="0.25">
      <c r="A30" t="s">
        <v>70</v>
      </c>
      <c r="B30" s="33">
        <f>Comps!D14</f>
        <v>28.108143608</v>
      </c>
    </row>
    <row r="31" spans="1:4" x14ac:dyDescent="0.25">
      <c r="A31" t="s">
        <v>71</v>
      </c>
      <c r="B31" s="34">
        <v>0.9</v>
      </c>
    </row>
    <row r="32" spans="1:4" x14ac:dyDescent="0.25">
      <c r="A32" t="s">
        <v>72</v>
      </c>
      <c r="B32" s="35">
        <v>0.0625</v>
      </c>
    </row>
    <row r="33" spans="1:4" x14ac:dyDescent="0.25">
      <c r="A33" t="s">
        <v>73</v>
      </c>
      <c r="B33" s="31">
        <v>0.03</v>
      </c>
    </row>
    <row r="34" spans="1:4" x14ac:dyDescent="0.25"/>
    <row r="35" spans="1:4" x14ac:dyDescent="0.25">
      <c r="A35" s="5" t="s">
        <v>74</v>
      </c>
    </row>
    <row r="36" spans="1:4" x14ac:dyDescent="0.25">
      <c r="A36" t="s">
        <v>75</v>
      </c>
      <c r="B36" s="35">
        <v>0.0675</v>
      </c>
    </row>
    <row r="37" spans="1:4" x14ac:dyDescent="0.25">
      <c r="A37" t="s">
        <v>76</v>
      </c>
      <c r="B37" s="15">
        <f>B32</f>
        <v>0.0625</v>
      </c>
    </row>
    <row r="38" spans="1:4" x14ac:dyDescent="0.25">
      <c r="A38" t="s">
        <v>77</v>
      </c>
      <c r="B38" s="35">
        <v>0.065</v>
      </c>
    </row>
    <row r="39" spans="1:4" x14ac:dyDescent="0.25"/>
    <row r="40" spans="1:4" x14ac:dyDescent="0.25"/>
    <row r="41" spans="1:4" x14ac:dyDescent="0.25">
      <c r="A41" s="8" t="s">
        <v>78</v>
      </c>
      <c r="B41" s="9"/>
      <c r="C41" s="9"/>
      <c r="D41" s="9"/>
    </row>
    <row r="42" spans="1:4" x14ac:dyDescent="0.25">
      <c r="A42" t="s">
        <v>79</v>
      </c>
      <c r="B42" s="34">
        <v>0.65</v>
      </c>
    </row>
    <row r="43" spans="1:4" x14ac:dyDescent="0.25">
      <c r="A43" t="s">
        <v>80</v>
      </c>
      <c r="B43" s="34">
        <v>0.6</v>
      </c>
    </row>
    <row r="44" spans="1:4" x14ac:dyDescent="0.25">
      <c r="A44" t="s">
        <v>81</v>
      </c>
      <c r="B44" s="34">
        <v>0.8</v>
      </c>
    </row>
    <row r="45" spans="1:4" x14ac:dyDescent="0.25">
      <c r="A45" t="s">
        <v>82</v>
      </c>
      <c r="B45" s="36">
        <v>1.25</v>
      </c>
    </row>
    <row r="46" spans="1:4" x14ac:dyDescent="0.25">
      <c r="A46" t="s">
        <v>83</v>
      </c>
      <c r="B46" s="31">
        <v>0.09</v>
      </c>
    </row>
    <row r="47" spans="1:4" x14ac:dyDescent="0.25">
      <c r="A47" t="s">
        <v>84</v>
      </c>
      <c r="B47" s="36">
        <v>1</v>
      </c>
    </row>
    <row r="48" spans="1:4" x14ac:dyDescent="0.25"/>
    <row r="49" spans="1:4" x14ac:dyDescent="0.25"/>
    <row r="50" spans="1:4" x14ac:dyDescent="0.25"/>
    <row r="51" spans="1:4" x14ac:dyDescent="0.25"/>
    <row r="52" spans="1:4" x14ac:dyDescent="0.25"/>
    <row r="53" spans="1:4" x14ac:dyDescent="0.25"/>
    <row r="54" spans="1:4" x14ac:dyDescent="0.25">
      <c r="A54" s="8" t="s">
        <v>85</v>
      </c>
      <c r="B54" s="9"/>
      <c r="C54" s="9"/>
      <c r="D54" s="9"/>
    </row>
    <row r="55" spans="1:4" x14ac:dyDescent="0.25">
      <c r="A55" t="s">
        <v>86</v>
      </c>
      <c r="B55" s="29">
        <v>500000</v>
      </c>
    </row>
    <row r="56" spans="1:4" x14ac:dyDescent="0.25">
      <c r="A56" t="s">
        <v>87</v>
      </c>
      <c r="B56" s="29">
        <v>150000</v>
      </c>
    </row>
    <row r="57" spans="1:4" x14ac:dyDescent="0.25">
      <c r="A57" s="4" t="s">
        <v>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34" customWidth="1"/>
    <col min="2" max="2" width="62" customWidth="1"/>
    <col min="3" max="3" width="16" customWidth="1"/>
    <col min="4" max="4" width="14" customWidth="1"/>
    <col min="5" max="5" width="12.5" customWidth="1"/>
    <col min="6" max="6" width="8" customWidth="1"/>
  </cols>
  <sheetData>
    <row r="1" spans="1:5" x14ac:dyDescent="0.25">
      <c r="A1" s="1" t="s">
        <v>89</v>
      </c>
    </row>
    <row r="2" spans="1:5" x14ac:dyDescent="0.25">
      <c r="A2" s="3" t="s">
        <v>2</v>
      </c>
    </row>
    <row r="3" spans="1:5" x14ac:dyDescent="0.25">
      <c r="A3" s="37" t="s">
        <v>90</v>
      </c>
      <c r="B3" s="37" t="s">
        <v>91</v>
      </c>
      <c r="C3" s="37" t="s">
        <v>92</v>
      </c>
      <c r="D3" s="37" t="s">
        <v>93</v>
      </c>
    </row>
    <row r="4" spans="1:5" x14ac:dyDescent="0.25">
      <c r="A4" s="17" t="s">
        <v>94</v>
      </c>
      <c r="B4" s="19" t="s">
        <v>95</v>
      </c>
      <c r="C4" s="38">
        <f>1-Assumptions!B24</f>
        <v>0.91</v>
      </c>
      <c r="D4" s="39">
        <f>Assumptions!B36</f>
        <v>0.0675</v>
      </c>
      <c r="E4" s="7"/>
    </row>
    <row r="5" spans="1:5" x14ac:dyDescent="0.25">
      <c r="A5" s="17" t="s">
        <v>96</v>
      </c>
      <c r="B5" s="19" t="s">
        <v>97</v>
      </c>
      <c r="C5" s="40">
        <v>1</v>
      </c>
      <c r="D5" s="39">
        <f>Assumptions!B38</f>
        <v>0.065</v>
      </c>
      <c r="E5" s="7"/>
    </row>
    <row r="6" spans="1:5" x14ac:dyDescent="0.25">
      <c r="A6" s="17" t="s">
        <v>98</v>
      </c>
      <c r="B6" s="19" t="s">
        <v>99</v>
      </c>
      <c r="C6" s="17" t="s">
        <v>100</v>
      </c>
      <c r="D6" s="39">
        <f>Assumptions!B32</f>
        <v>0.0625</v>
      </c>
      <c r="E6" s="7"/>
    </row>
    <row r="7" spans="1:5" x14ac:dyDescent="0.25"/>
    <row r="8" spans="1:5" x14ac:dyDescent="0.25"/>
    <row r="9" spans="1:5" x14ac:dyDescent="0.25">
      <c r="A9" s="8" t="s">
        <v>101</v>
      </c>
      <c r="B9" s="9"/>
      <c r="C9" s="9"/>
      <c r="D9" s="9"/>
      <c r="E9" s="9"/>
    </row>
    <row r="10" spans="1:5" x14ac:dyDescent="0.25">
      <c r="A10" s="17" t="s">
        <v>102</v>
      </c>
      <c r="B10" s="18" t="s">
        <v>103</v>
      </c>
      <c r="C10" s="18" t="s">
        <v>104</v>
      </c>
      <c r="D10" s="18" t="s">
        <v>105</v>
      </c>
      <c r="E10" s="18" t="s">
        <v>106</v>
      </c>
    </row>
    <row r="11" spans="1:5" x14ac:dyDescent="0.25">
      <c r="A11" s="17" t="s">
        <v>107</v>
      </c>
      <c r="B11" s="40">
        <v>0.5</v>
      </c>
      <c r="C11" s="40">
        <v>0.9</v>
      </c>
      <c r="D11" s="40">
        <v>0.9</v>
      </c>
      <c r="E11" s="40">
        <v>0.9</v>
      </c>
    </row>
    <row r="12" spans="1:5" x14ac:dyDescent="0.25">
      <c r="A12" s="17" t="s">
        <v>108</v>
      </c>
      <c r="B12" s="40">
        <v>0.6</v>
      </c>
      <c r="C12" s="40">
        <v>0.95</v>
      </c>
      <c r="D12" s="40">
        <v>0.95</v>
      </c>
      <c r="E12" s="40">
        <v>0.95</v>
      </c>
    </row>
    <row r="13" spans="1:5" x14ac:dyDescent="0.25">
      <c r="A13" s="17" t="s">
        <v>109</v>
      </c>
      <c r="B13" s="40">
        <v>0</v>
      </c>
      <c r="C13" s="40">
        <v>0.6</v>
      </c>
      <c r="D13" s="40">
        <v>0.93</v>
      </c>
      <c r="E13" s="40">
        <v>0.93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K44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0" customWidth="1"/>
    <col min="2" max="11" width="12.5" customWidth="1"/>
  </cols>
  <sheetData>
    <row r="1" spans="1:11" x14ac:dyDescent="0.25">
      <c r="A1" s="1" t="s">
        <v>110</v>
      </c>
    </row>
    <row r="2" spans="1:11" x14ac:dyDescent="0.25">
      <c r="A2" s="3" t="s">
        <v>111</v>
      </c>
    </row>
    <row r="3" spans="1:11" x14ac:dyDescent="0.25"/>
    <row r="4" spans="1:11" x14ac:dyDescent="0.25">
      <c r="A4" s="6" t="s">
        <v>112</v>
      </c>
      <c r="B4" s="41">
        <v>46630</v>
      </c>
      <c r="C4" s="41">
        <v>46996</v>
      </c>
      <c r="D4" s="41">
        <v>47361</v>
      </c>
      <c r="E4" s="41">
        <v>47726</v>
      </c>
      <c r="F4" s="41">
        <v>48091</v>
      </c>
      <c r="G4" s="41">
        <v>48457</v>
      </c>
      <c r="H4" s="41">
        <v>48822</v>
      </c>
      <c r="I4" s="41">
        <v>49187</v>
      </c>
      <c r="J4" s="41">
        <v>49552</v>
      </c>
      <c r="K4" s="41">
        <v>49918</v>
      </c>
    </row>
    <row r="5" spans="1:11" x14ac:dyDescent="0.25">
      <c r="A5" s="6" t="s">
        <v>102</v>
      </c>
      <c r="B5" s="42" t="s">
        <v>103</v>
      </c>
      <c r="C5" s="42" t="s">
        <v>104</v>
      </c>
      <c r="D5" s="42" t="s">
        <v>105</v>
      </c>
      <c r="E5" s="42" t="s">
        <v>106</v>
      </c>
      <c r="F5" s="42" t="s">
        <v>113</v>
      </c>
      <c r="G5" s="42" t="s">
        <v>114</v>
      </c>
      <c r="H5" s="42" t="s">
        <v>115</v>
      </c>
      <c r="I5" s="42" t="s">
        <v>116</v>
      </c>
      <c r="J5" s="42" t="s">
        <v>117</v>
      </c>
      <c r="K5" s="42" t="s">
        <v>118</v>
      </c>
    </row>
    <row r="6" spans="1:11" x14ac:dyDescent="0.25">
      <c r="A6" s="8" t="s">
        <v>119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t="s">
        <v>120</v>
      </c>
      <c r="B7" s="29">
        <v>1900000</v>
      </c>
      <c r="C7" s="29">
        <v>1995000</v>
      </c>
      <c r="D7" s="14">
        <f>C7*(1+Assumptions!$B$25)</f>
        <v>2054850</v>
      </c>
      <c r="E7" s="14">
        <f>D7*(1+Assumptions!$B$25)</f>
        <v>2116495.5</v>
      </c>
      <c r="F7" s="14">
        <f>E7*(1+Assumptions!$B$25)</f>
        <v>2179990.365</v>
      </c>
      <c r="G7" s="14">
        <f>F7*(1+Assumptions!$B$25)</f>
        <v>2245390.076</v>
      </c>
      <c r="H7" s="14">
        <f>G7*(1+Assumptions!$B$25)</f>
        <v>2312751.7782</v>
      </c>
      <c r="I7" s="14">
        <f>H7*(1+Assumptions!$B$25)</f>
        <v>2382134.3316</v>
      </c>
      <c r="J7" s="14">
        <f>I7*(1+Assumptions!$B$25)</f>
        <v>2453598.3615</v>
      </c>
      <c r="K7" s="14">
        <f>J7*(1+Assumptions!$B$25)</f>
        <v>2527206.3124</v>
      </c>
    </row>
    <row r="8" spans="1:11" x14ac:dyDescent="0.25">
      <c r="A8" t="s">
        <v>121</v>
      </c>
      <c r="B8" s="29">
        <v>320000</v>
      </c>
      <c r="C8" s="29">
        <v>330000</v>
      </c>
      <c r="D8" s="14">
        <f>C8*(1+Assumptions!$B$25)</f>
        <v>339900</v>
      </c>
      <c r="E8" s="14">
        <f>D8*(1+Assumptions!$B$25)</f>
        <v>350097</v>
      </c>
      <c r="F8" s="14">
        <f>E8*(1+Assumptions!$B$25)</f>
        <v>360599.91</v>
      </c>
      <c r="G8" s="14">
        <f>F8*(1+Assumptions!$B$25)</f>
        <v>371417.9073</v>
      </c>
      <c r="H8" s="14">
        <f>G8*(1+Assumptions!$B$25)</f>
        <v>382560.44452</v>
      </c>
      <c r="I8" s="14">
        <f>H8*(1+Assumptions!$B$25)</f>
        <v>394037.25785</v>
      </c>
      <c r="J8" s="14">
        <f>I8*(1+Assumptions!$B$25)</f>
        <v>405858.37559</v>
      </c>
      <c r="K8" s="14">
        <f>J8*(1+Assumptions!$B$25)</f>
        <v>418034.12686</v>
      </c>
    </row>
    <row r="9" spans="1:11" x14ac:dyDescent="0.25">
      <c r="A9" t="s">
        <v>122</v>
      </c>
      <c r="B9" s="29">
        <v>150000</v>
      </c>
      <c r="C9" s="29">
        <v>155000</v>
      </c>
      <c r="D9" s="14">
        <f>C9*(1+Assumptions!$B$25)</f>
        <v>159650</v>
      </c>
      <c r="E9" s="14">
        <f>D9*(1+Assumptions!$B$25)</f>
        <v>164439.5</v>
      </c>
      <c r="F9" s="14">
        <f>E9*(1+Assumptions!$B$25)</f>
        <v>169372.685</v>
      </c>
      <c r="G9" s="14">
        <f>F9*(1+Assumptions!$B$25)</f>
        <v>174453.86555</v>
      </c>
      <c r="H9" s="14">
        <f>G9*(1+Assumptions!$B$25)</f>
        <v>179687.48152</v>
      </c>
      <c r="I9" s="14">
        <f>H9*(1+Assumptions!$B$25)</f>
        <v>185078.10596</v>
      </c>
      <c r="J9" s="14">
        <f>I9*(1+Assumptions!$B$25)</f>
        <v>190630.44914</v>
      </c>
      <c r="K9" s="14">
        <f>J9*(1+Assumptions!$B$25)</f>
        <v>196349.36262</v>
      </c>
    </row>
    <row r="10" spans="1:11" x14ac:dyDescent="0.25">
      <c r="A10" t="s">
        <v>123</v>
      </c>
      <c r="B10" s="29">
        <v>80000</v>
      </c>
      <c r="C10" s="29">
        <v>82000</v>
      </c>
      <c r="D10" s="14">
        <f>C10*(1+Assumptions!$B$25)</f>
        <v>84460</v>
      </c>
      <c r="E10" s="14">
        <f>D10*(1+Assumptions!$B$25)</f>
        <v>86993.8</v>
      </c>
      <c r="F10" s="14">
        <f>E10*(1+Assumptions!$B$25)</f>
        <v>89603.614</v>
      </c>
      <c r="G10" s="14">
        <f>F10*(1+Assumptions!$B$25)</f>
        <v>92291.72242</v>
      </c>
      <c r="H10" s="14">
        <f>G10*(1+Assumptions!$B$25)</f>
        <v>95060.474093</v>
      </c>
      <c r="I10" s="14">
        <f>H10*(1+Assumptions!$B$25)</f>
        <v>97912.288315</v>
      </c>
      <c r="J10" s="14">
        <f>I10*(1+Assumptions!$B$25)</f>
        <v>100849.65696</v>
      </c>
      <c r="K10" s="14">
        <f>J10*(1+Assumptions!$B$25)</f>
        <v>103875.14667</v>
      </c>
    </row>
    <row r="11" spans="1:11" x14ac:dyDescent="0.25">
      <c r="A11" s="6" t="s">
        <v>124</v>
      </c>
      <c r="B11" s="30">
        <f>SUM(B7:B10)</f>
        <v>2450000</v>
      </c>
      <c r="C11" s="30">
        <f>SUM(C7:C10)</f>
        <v>2562000</v>
      </c>
      <c r="D11" s="30">
        <f>SUM(D7:D10)</f>
        <v>2638860</v>
      </c>
      <c r="E11" s="30">
        <f>SUM(E7:E10)</f>
        <v>2718025.8</v>
      </c>
      <c r="F11" s="30">
        <f>SUM(F7:F10)</f>
        <v>2799566.574</v>
      </c>
      <c r="G11" s="30">
        <f>SUM(G7:G10)</f>
        <v>2883553.5712</v>
      </c>
      <c r="H11" s="30">
        <f>SUM(H7:H10)</f>
        <v>2970060.1784</v>
      </c>
      <c r="I11" s="30">
        <f>SUM(I7:I10)</f>
        <v>3059161.9837</v>
      </c>
      <c r="J11" s="30">
        <f>SUM(J7:J10)</f>
        <v>3150936.8432</v>
      </c>
      <c r="K11" s="30">
        <f>SUM(K7:K10)</f>
        <v>3245464.9485</v>
      </c>
    </row>
    <row r="12" spans="1:11" x14ac:dyDescent="0.25">
      <c r="A12" t="s">
        <v>125</v>
      </c>
      <c r="B12" s="14">
        <f>-B11*(1-'Scenario Assumptions'!B$11)</f>
        <v>-1225000</v>
      </c>
      <c r="C12" s="14">
        <f>-C11*(1-'Scenario Assumptions'!C$11)</f>
        <v>-256200</v>
      </c>
      <c r="D12" s="14">
        <f>-D11*(1-'Scenario Assumptions'!D$11)</f>
        <v>-263886</v>
      </c>
      <c r="E12" s="14">
        <f>-E11*(1-'Scenario Assumptions'!E$11)</f>
        <v>-271802.58</v>
      </c>
      <c r="F12" s="14">
        <f>-F11*(1-'Scenario Assumptions'!$E$11)</f>
        <v>-279956.6574</v>
      </c>
      <c r="G12" s="14">
        <f>-G11*(1-'Scenario Assumptions'!$E$11)</f>
        <v>-288355.35712</v>
      </c>
      <c r="H12" s="14">
        <f>-H11*(1-'Scenario Assumptions'!$E$11)</f>
        <v>-297006.01784</v>
      </c>
      <c r="I12" s="14">
        <f>-I11*(1-'Scenario Assumptions'!$E$11)</f>
        <v>-305916.19837</v>
      </c>
      <c r="J12" s="14">
        <f>-J11*(1-'Scenario Assumptions'!$E$11)</f>
        <v>-315093.68432</v>
      </c>
      <c r="K12" s="14">
        <f>-K11*(1-'Scenario Assumptions'!$E$11)</f>
        <v>-324546.49485</v>
      </c>
    </row>
    <row r="13" spans="1:11" x14ac:dyDescent="0.25">
      <c r="A13" t="s">
        <v>126</v>
      </c>
      <c r="B13" s="29">
        <v>-45000</v>
      </c>
      <c r="C13" s="29">
        <v>-25000</v>
      </c>
      <c r="D13" s="14">
        <f>-D11*0.5%</f>
        <v>-13194.3</v>
      </c>
      <c r="E13" s="14">
        <f>-E11*0.5%</f>
        <v>-13590.129</v>
      </c>
      <c r="F13" s="14">
        <f>-F11*0.5%</f>
        <v>-13997.83287</v>
      </c>
      <c r="G13" s="14">
        <f>-G11*0.5%</f>
        <v>-14417.767856</v>
      </c>
      <c r="H13" s="14">
        <f>-H11*0.5%</f>
        <v>-14850.300892</v>
      </c>
      <c r="I13" s="14">
        <f>-I11*0.5%</f>
        <v>-15295.809919</v>
      </c>
      <c r="J13" s="14">
        <f>-J11*0.5%</f>
        <v>-15754.684216</v>
      </c>
      <c r="K13" s="14">
        <f>-K11*0.5%</f>
        <v>-16227.324743</v>
      </c>
    </row>
    <row r="14" spans="1:11" x14ac:dyDescent="0.25">
      <c r="A14" s="6" t="s">
        <v>127</v>
      </c>
      <c r="B14" s="12">
        <f>SUM(B11:B13)</f>
        <v>1180000</v>
      </c>
      <c r="C14" s="12">
        <f>SUM(C11:C13)</f>
        <v>2280800</v>
      </c>
      <c r="D14" s="12">
        <f>SUM(D11:D13)</f>
        <v>2361779.7</v>
      </c>
      <c r="E14" s="12">
        <f>SUM(E11:E13)</f>
        <v>2432633.091</v>
      </c>
      <c r="F14" s="12">
        <f>SUM(F11:F13)</f>
        <v>2505612.0837</v>
      </c>
      <c r="G14" s="12">
        <f>SUM(G11:G13)</f>
        <v>2580780.4462</v>
      </c>
      <c r="H14" s="12">
        <f>SUM(H11:H13)</f>
        <v>2658203.8596</v>
      </c>
      <c r="I14" s="12">
        <f>SUM(I11:I13)</f>
        <v>2737949.9754</v>
      </c>
      <c r="J14" s="12">
        <f>SUM(J11:J13)</f>
        <v>2820088.4747</v>
      </c>
      <c r="K14" s="12">
        <f>SUM(K11:K13)</f>
        <v>2904691.1289</v>
      </c>
    </row>
    <row r="15" spans="1:11" x14ac:dyDescent="0.25">
      <c r="A15" t="s">
        <v>128</v>
      </c>
      <c r="B15" s="14">
        <f>-B14*Assumptions!$B$24</f>
        <v>-106200</v>
      </c>
      <c r="C15" s="14">
        <f>-C14*Assumptions!$B$24</f>
        <v>-205272</v>
      </c>
      <c r="D15" s="14">
        <f>-D14*Assumptions!$B$24</f>
        <v>-212560.173</v>
      </c>
      <c r="E15" s="14">
        <f>-E14*Assumptions!$B$24</f>
        <v>-218936.97819</v>
      </c>
      <c r="F15" s="14">
        <f>-F14*Assumptions!$B$24</f>
        <v>-225505.08754</v>
      </c>
      <c r="G15" s="14">
        <f>-G14*Assumptions!$B$24</f>
        <v>-232270.24016</v>
      </c>
      <c r="H15" s="14">
        <f>-H14*Assumptions!$B$24</f>
        <v>-239238.34737</v>
      </c>
      <c r="I15" s="14">
        <f>-I14*Assumptions!$B$24</f>
        <v>-246415.49779</v>
      </c>
      <c r="J15" s="14">
        <f>-J14*Assumptions!$B$24</f>
        <v>-253807.96272</v>
      </c>
      <c r="K15" s="14">
        <f>-K14*Assumptions!$B$24</f>
        <v>-261422.2016</v>
      </c>
    </row>
    <row r="16" spans="1:11" x14ac:dyDescent="0.25">
      <c r="A16" s="6" t="s">
        <v>129</v>
      </c>
      <c r="B16" s="30">
        <f>B14+B15</f>
        <v>1073800</v>
      </c>
      <c r="C16" s="30">
        <f>C14+C15</f>
        <v>2075528</v>
      </c>
      <c r="D16" s="30">
        <f>D14+D15</f>
        <v>2149219.527</v>
      </c>
      <c r="E16" s="30">
        <f>E14+E15</f>
        <v>2213696.1128</v>
      </c>
      <c r="F16" s="30">
        <f>F14+F15</f>
        <v>2280106.9962</v>
      </c>
      <c r="G16" s="30">
        <f>G14+G15</f>
        <v>2348510.2061</v>
      </c>
      <c r="H16" s="30">
        <f>H14+H15</f>
        <v>2418965.5123</v>
      </c>
      <c r="I16" s="30">
        <f>I14+I15</f>
        <v>2491534.4776</v>
      </c>
      <c r="J16" s="30">
        <f>J14+J15</f>
        <v>2566280.512</v>
      </c>
      <c r="K16" s="30">
        <f>K14+K15</f>
        <v>2643268.9273</v>
      </c>
    </row>
    <row r="17" spans="1:11" x14ac:dyDescent="0.25"/>
    <row r="18" spans="1:11" x14ac:dyDescent="0.25">
      <c r="A18" s="8" t="s">
        <v>130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t="s">
        <v>131</v>
      </c>
      <c r="B19" s="29">
        <v>-70000</v>
      </c>
      <c r="C19" s="29">
        <v>-72000</v>
      </c>
      <c r="D19" s="14">
        <f>C19*(1+Assumptions!$B$25)</f>
        <v>-74160</v>
      </c>
      <c r="E19" s="14">
        <f>D19*(1+Assumptions!$B$25)</f>
        <v>-76384.8</v>
      </c>
      <c r="F19" s="14">
        <f>E19*(1+Assumptions!$B$25)</f>
        <v>-78676.344</v>
      </c>
      <c r="G19" s="14">
        <f>F19*(1+Assumptions!$B$25)</f>
        <v>-81036.63432</v>
      </c>
      <c r="H19" s="14">
        <f>G19*(1+Assumptions!$B$25)</f>
        <v>-83467.73335</v>
      </c>
      <c r="I19" s="14">
        <f>H19*(1+Assumptions!$B$25)</f>
        <v>-85971.76535</v>
      </c>
      <c r="J19" s="14">
        <f>I19*(1+Assumptions!$B$25)</f>
        <v>-88550.918311</v>
      </c>
      <c r="K19" s="14">
        <f>J19*(1+Assumptions!$B$25)</f>
        <v>-91207.44586</v>
      </c>
    </row>
    <row r="20" spans="1:11" x14ac:dyDescent="0.25">
      <c r="A20" t="s">
        <v>132</v>
      </c>
      <c r="B20" s="29">
        <v>-88000</v>
      </c>
      <c r="C20" s="29">
        <v>-92000</v>
      </c>
      <c r="D20" s="14">
        <f>C20*(1+Assumptions!$B$25)</f>
        <v>-94760</v>
      </c>
      <c r="E20" s="14">
        <f>D20*(1+Assumptions!$B$25)</f>
        <v>-97602.8</v>
      </c>
      <c r="F20" s="14">
        <f>E20*(1+Assumptions!$B$25)</f>
        <v>-100530.884</v>
      </c>
      <c r="G20" s="14">
        <f>F20*(1+Assumptions!$B$25)</f>
        <v>-103546.81052</v>
      </c>
      <c r="H20" s="14">
        <f>G20*(1+Assumptions!$B$25)</f>
        <v>-106653.21484</v>
      </c>
      <c r="I20" s="14">
        <f>H20*(1+Assumptions!$B$25)</f>
        <v>-109852.81128</v>
      </c>
      <c r="J20" s="14">
        <f>I20*(1+Assumptions!$B$25)</f>
        <v>-113148.39562</v>
      </c>
      <c r="K20" s="14">
        <f>J20*(1+Assumptions!$B$25)</f>
        <v>-116542.84749</v>
      </c>
    </row>
    <row r="21" spans="1:11" x14ac:dyDescent="0.25">
      <c r="A21" t="s">
        <v>133</v>
      </c>
      <c r="B21" s="29">
        <v>-195000</v>
      </c>
      <c r="C21" s="29">
        <v>-205000</v>
      </c>
      <c r="D21" s="14">
        <f>C21*(1+Assumptions!$B$25)</f>
        <v>-211150</v>
      </c>
      <c r="E21" s="14">
        <f>D21*(1+Assumptions!$B$25)</f>
        <v>-217484.5</v>
      </c>
      <c r="F21" s="14">
        <f>E21*(1+Assumptions!$B$25)</f>
        <v>-224009.035</v>
      </c>
      <c r="G21" s="14">
        <f>F21*(1+Assumptions!$B$25)</f>
        <v>-230729.30605</v>
      </c>
      <c r="H21" s="14">
        <f>G21*(1+Assumptions!$B$25)</f>
        <v>-237651.18523</v>
      </c>
      <c r="I21" s="14">
        <f>H21*(1+Assumptions!$B$25)</f>
        <v>-244780.72079</v>
      </c>
      <c r="J21" s="14">
        <f>I21*(1+Assumptions!$B$25)</f>
        <v>-252124.14241</v>
      </c>
      <c r="K21" s="14">
        <f>J21*(1+Assumptions!$B$25)</f>
        <v>-259687.86668</v>
      </c>
    </row>
    <row r="22" spans="1:11" x14ac:dyDescent="0.25">
      <c r="A22" t="s">
        <v>134</v>
      </c>
      <c r="B22" s="14">
        <f>-B16*5%</f>
        <v>-53690</v>
      </c>
      <c r="C22" s="14">
        <f>-C16*5%</f>
        <v>-103776.4</v>
      </c>
      <c r="D22" s="14">
        <f>-D16*5%</f>
        <v>-107460.97635</v>
      </c>
      <c r="E22" s="14">
        <f>-E16*5%</f>
        <v>-110684.80564</v>
      </c>
      <c r="F22" s="14">
        <f>-F16*5%</f>
        <v>-114005.34981</v>
      </c>
      <c r="G22" s="14">
        <f>-G16*5%</f>
        <v>-117425.5103</v>
      </c>
      <c r="H22" s="14">
        <f>-H16*5%</f>
        <v>-120948.27561</v>
      </c>
      <c r="I22" s="14">
        <f>-I16*5%</f>
        <v>-124576.72388</v>
      </c>
      <c r="J22" s="14">
        <f>-J16*5%</f>
        <v>-128314.0256</v>
      </c>
      <c r="K22" s="14">
        <f>-K16*5%</f>
        <v>-132163.44637</v>
      </c>
    </row>
    <row r="23" spans="1:11" x14ac:dyDescent="0.25">
      <c r="A23" t="s">
        <v>135</v>
      </c>
      <c r="B23" s="29">
        <v>-118000</v>
      </c>
      <c r="C23" s="29">
        <v>-121000</v>
      </c>
      <c r="D23" s="14">
        <f>C23*(1+Assumptions!$B$25)</f>
        <v>-124630</v>
      </c>
      <c r="E23" s="14">
        <f>D23*(1+Assumptions!$B$25)</f>
        <v>-128368.9</v>
      </c>
      <c r="F23" s="14">
        <f>E23*(1+Assumptions!$B$25)</f>
        <v>-132219.967</v>
      </c>
      <c r="G23" s="14">
        <f>F23*(1+Assumptions!$B$25)</f>
        <v>-136186.56601</v>
      </c>
      <c r="H23" s="14">
        <f>G23*(1+Assumptions!$B$25)</f>
        <v>-140272.16299</v>
      </c>
      <c r="I23" s="14">
        <f>H23*(1+Assumptions!$B$25)</f>
        <v>-144480.32788</v>
      </c>
      <c r="J23" s="14">
        <f>I23*(1+Assumptions!$B$25)</f>
        <v>-148814.73772</v>
      </c>
      <c r="K23" s="14">
        <f>J23*(1+Assumptions!$B$25)</f>
        <v>-153279.17985</v>
      </c>
    </row>
    <row r="24" spans="1:11" x14ac:dyDescent="0.25">
      <c r="A24" t="s">
        <v>136</v>
      </c>
      <c r="B24" s="29">
        <v>-24000</v>
      </c>
      <c r="C24" s="29">
        <v>-25000</v>
      </c>
      <c r="D24" s="14">
        <f>C24*(1+Assumptions!$B$25)</f>
        <v>-25750</v>
      </c>
      <c r="E24" s="14">
        <f>D24*(1+Assumptions!$B$25)</f>
        <v>-26522.5</v>
      </c>
      <c r="F24" s="14">
        <f>E24*(1+Assumptions!$B$25)</f>
        <v>-27318.175</v>
      </c>
      <c r="G24" s="14">
        <f>F24*(1+Assumptions!$B$25)</f>
        <v>-28137.72025</v>
      </c>
      <c r="H24" s="14">
        <f>G24*(1+Assumptions!$B$25)</f>
        <v>-28981.851857</v>
      </c>
      <c r="I24" s="14">
        <f>H24*(1+Assumptions!$B$25)</f>
        <v>-29851.307413</v>
      </c>
      <c r="J24" s="14">
        <f>I24*(1+Assumptions!$B$25)</f>
        <v>-30746.846636</v>
      </c>
      <c r="K24" s="14">
        <f>J24*(1+Assumptions!$B$25)</f>
        <v>-31669.252035</v>
      </c>
    </row>
    <row r="25" spans="1:11" x14ac:dyDescent="0.25">
      <c r="A25" t="s">
        <v>137</v>
      </c>
      <c r="B25" s="29">
        <v>-60000</v>
      </c>
      <c r="C25" s="29">
        <v>-45000</v>
      </c>
      <c r="D25" s="14">
        <f>C25*(1+Assumptions!$B$25)</f>
        <v>-46350</v>
      </c>
      <c r="E25" s="14">
        <f>D25*(1+Assumptions!$B$25)</f>
        <v>-47740.5</v>
      </c>
      <c r="F25" s="14">
        <f>E25*(1+Assumptions!$B$25)</f>
        <v>-49172.715</v>
      </c>
      <c r="G25" s="14">
        <f>F25*(1+Assumptions!$B$25)</f>
        <v>-50647.89645</v>
      </c>
      <c r="H25" s="14">
        <f>G25*(1+Assumptions!$B$25)</f>
        <v>-52167.333344</v>
      </c>
      <c r="I25" s="14">
        <f>H25*(1+Assumptions!$B$25)</f>
        <v>-53732.353344</v>
      </c>
      <c r="J25" s="14">
        <f>I25*(1+Assumptions!$B$25)</f>
        <v>-55344.323944</v>
      </c>
      <c r="K25" s="14">
        <f>J25*(1+Assumptions!$B$25)</f>
        <v>-57004.653662</v>
      </c>
    </row>
    <row r="26" spans="1:11" x14ac:dyDescent="0.25">
      <c r="A26" t="s">
        <v>138</v>
      </c>
      <c r="B26" s="29">
        <v>-52000</v>
      </c>
      <c r="C26" s="29">
        <v>-54000</v>
      </c>
      <c r="D26" s="14">
        <f>C26*(1+Assumptions!$B$25)</f>
        <v>-55620</v>
      </c>
      <c r="E26" s="14">
        <f>D26*(1+Assumptions!$B$25)</f>
        <v>-57288.6</v>
      </c>
      <c r="F26" s="14">
        <f>E26*(1+Assumptions!$B$25)</f>
        <v>-59007.258</v>
      </c>
      <c r="G26" s="14">
        <f>F26*(1+Assumptions!$B$25)</f>
        <v>-60777.47574</v>
      </c>
      <c r="H26" s="14">
        <f>G26*(1+Assumptions!$B$25)</f>
        <v>-62600.800012</v>
      </c>
      <c r="I26" s="14">
        <f>H26*(1+Assumptions!$B$25)</f>
        <v>-64478.824013</v>
      </c>
      <c r="J26" s="14">
        <f>I26*(1+Assumptions!$B$25)</f>
        <v>-66413.188733</v>
      </c>
      <c r="K26" s="14">
        <f>J26*(1+Assumptions!$B$25)</f>
        <v>-68405.584395</v>
      </c>
    </row>
    <row r="27" spans="1:11" x14ac:dyDescent="0.25">
      <c r="A27" t="s">
        <v>139</v>
      </c>
      <c r="B27" s="29">
        <v>-26000</v>
      </c>
      <c r="C27" s="29">
        <v>-27000</v>
      </c>
      <c r="D27" s="14">
        <f>C27*(1+Assumptions!$B$25)</f>
        <v>-27810</v>
      </c>
      <c r="E27" s="14">
        <f>D27*(1+Assumptions!$B$25)</f>
        <v>-28644.3</v>
      </c>
      <c r="F27" s="14">
        <f>E27*(1+Assumptions!$B$25)</f>
        <v>-29503.629</v>
      </c>
      <c r="G27" s="14">
        <f>F27*(1+Assumptions!$B$25)</f>
        <v>-30388.73787</v>
      </c>
      <c r="H27" s="14">
        <f>G27*(1+Assumptions!$B$25)</f>
        <v>-31300.400006</v>
      </c>
      <c r="I27" s="14">
        <f>H27*(1+Assumptions!$B$25)</f>
        <v>-32239.412006</v>
      </c>
      <c r="J27" s="14">
        <f>I27*(1+Assumptions!$B$25)</f>
        <v>-33206.594366</v>
      </c>
      <c r="K27" s="14">
        <f>J27*(1+Assumptions!$B$25)</f>
        <v>-34202.792197</v>
      </c>
    </row>
    <row r="28" spans="1:11" x14ac:dyDescent="0.25">
      <c r="A28" t="s">
        <v>140</v>
      </c>
      <c r="B28" s="29">
        <v>-22000</v>
      </c>
      <c r="C28" s="29">
        <v>-23000</v>
      </c>
      <c r="D28" s="14">
        <f>C28*(1+Assumptions!$B$25)</f>
        <v>-23690</v>
      </c>
      <c r="E28" s="14">
        <f>D28*(1+Assumptions!$B$25)</f>
        <v>-24400.7</v>
      </c>
      <c r="F28" s="14">
        <f>E28*(1+Assumptions!$B$25)</f>
        <v>-25132.721</v>
      </c>
      <c r="G28" s="14">
        <f>F28*(1+Assumptions!$B$25)</f>
        <v>-25886.70263</v>
      </c>
      <c r="H28" s="14">
        <f>G28*(1+Assumptions!$B$25)</f>
        <v>-26663.303709</v>
      </c>
      <c r="I28" s="14">
        <f>H28*(1+Assumptions!$B$25)</f>
        <v>-27463.20282</v>
      </c>
      <c r="J28" s="14">
        <f>I28*(1+Assumptions!$B$25)</f>
        <v>-28287.098905</v>
      </c>
      <c r="K28" s="14">
        <f>J28*(1+Assumptions!$B$25)</f>
        <v>-29135.711872</v>
      </c>
    </row>
    <row r="29" spans="1:11" x14ac:dyDescent="0.25">
      <c r="A29" s="6" t="s">
        <v>141</v>
      </c>
      <c r="B29" s="30">
        <f>SUM(B19:B28)</f>
        <v>-708690</v>
      </c>
      <c r="C29" s="30">
        <f>SUM(C19:C28)</f>
        <v>-767776.4</v>
      </c>
      <c r="D29" s="30">
        <f>SUM(D19:D28)</f>
        <v>-791380.97635</v>
      </c>
      <c r="E29" s="30">
        <f>SUM(E19:E28)</f>
        <v>-815122.40564</v>
      </c>
      <c r="F29" s="30">
        <f>SUM(F19:F28)</f>
        <v>-839576.07781</v>
      </c>
      <c r="G29" s="30">
        <f>SUM(G19:G28)</f>
        <v>-864763.36014</v>
      </c>
      <c r="H29" s="30">
        <f>SUM(H19:H28)</f>
        <v>-890706.26095</v>
      </c>
      <c r="I29" s="30">
        <f>SUM(I19:I28)</f>
        <v>-917427.44878</v>
      </c>
      <c r="J29" s="30">
        <f>SUM(J19:J28)</f>
        <v>-944950.27224</v>
      </c>
      <c r="K29" s="30">
        <f>SUM(K19:K28)</f>
        <v>-973298.78041</v>
      </c>
    </row>
    <row r="30" spans="1:11" x14ac:dyDescent="0.25"/>
    <row r="31" spans="1:11" x14ac:dyDescent="0.25">
      <c r="A31" s="5" t="s">
        <v>142</v>
      </c>
      <c r="B31" s="43">
        <f>B16+B29</f>
        <v>365110</v>
      </c>
      <c r="C31" s="43">
        <f>C16+C29</f>
        <v>1307751.6</v>
      </c>
      <c r="D31" s="43">
        <f>D16+D29</f>
        <v>1357838.5507</v>
      </c>
      <c r="E31" s="43">
        <f>E16+E29</f>
        <v>1398573.7072</v>
      </c>
      <c r="F31" s="43">
        <f>F16+F29</f>
        <v>1440530.9184</v>
      </c>
      <c r="G31" s="43">
        <f>G16+G29</f>
        <v>1483746.8459</v>
      </c>
      <c r="H31" s="43">
        <f>H16+H29</f>
        <v>1528259.2513</v>
      </c>
      <c r="I31" s="43">
        <f>I16+I29</f>
        <v>1574107.0289</v>
      </c>
      <c r="J31" s="43">
        <f>J16+J29</f>
        <v>1621330.2397</v>
      </c>
      <c r="K31" s="43">
        <f>K16+K29</f>
        <v>1669970.1469</v>
      </c>
    </row>
    <row r="32" spans="1:11" x14ac:dyDescent="0.25">
      <c r="A32" s="4" t="s">
        <v>143</v>
      </c>
      <c r="B32" s="44">
        <f>B31/B16</f>
        <v>0.3400167629</v>
      </c>
      <c r="C32" s="44">
        <f>C31/C16</f>
        <v>0.63008140579</v>
      </c>
      <c r="D32" s="44">
        <f>D31/D16</f>
        <v>0.63178215794</v>
      </c>
      <c r="E32" s="44">
        <f>E31/E16</f>
        <v>0.63178215794</v>
      </c>
      <c r="F32" s="44">
        <f>F31/F16</f>
        <v>0.63178215794</v>
      </c>
      <c r="G32" s="44">
        <f>G31/G16</f>
        <v>0.63178215794</v>
      </c>
      <c r="H32" s="44">
        <f>H31/H16</f>
        <v>0.63178215794</v>
      </c>
      <c r="I32" s="44">
        <f>I31/I16</f>
        <v>0.63178215794</v>
      </c>
      <c r="J32" s="44">
        <f>J31/J16</f>
        <v>0.63178215794</v>
      </c>
      <c r="K32" s="44">
        <f>K31/K16</f>
        <v>0.63178215794</v>
      </c>
    </row>
    <row r="33" spans="1:11" x14ac:dyDescent="0.25">
      <c r="A33" s="8" t="s">
        <v>144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t="s">
        <v>145</v>
      </c>
      <c r="B34" s="14">
        <f>-'Debt Sizing'!$B$20*SOFR!C$43</f>
        <v>-725742.46008</v>
      </c>
      <c r="C34" s="14">
        <f>-'Debt Sizing'!$B$20*SOFR!D$43</f>
        <v>-735478.3202</v>
      </c>
      <c r="D34" s="14">
        <f>-'Debt Sizing'!$B$20*SOFR!E$43</f>
        <v>-736621.847</v>
      </c>
      <c r="E34" s="14">
        <f>-'Debt Sizing'!$B$20*SOFR!F$43</f>
        <v>-736621.847</v>
      </c>
      <c r="F34" s="14">
        <f>-'Debt Sizing'!$B$20*SOFR!$F$43</f>
        <v>-736621.847</v>
      </c>
      <c r="G34" s="14">
        <f>-'Debt Sizing'!$B$20*SOFR!$F$43</f>
        <v>-736621.847</v>
      </c>
      <c r="H34" s="14">
        <f>-'Debt Sizing'!$B$20*SOFR!$F$43</f>
        <v>-736621.847</v>
      </c>
      <c r="I34" s="14">
        <f>-'Debt Sizing'!$B$20*SOFR!$F$43</f>
        <v>-736621.847</v>
      </c>
      <c r="J34" s="14">
        <f>-'Debt Sizing'!$B$20*SOFR!$F$43</f>
        <v>-736621.847</v>
      </c>
      <c r="K34" s="14">
        <f>-'Debt Sizing'!$B$20*SOFR!$F$43</f>
        <v>-736621.847</v>
      </c>
    </row>
    <row r="35" spans="1:11" x14ac:dyDescent="0.25"/>
    <row r="36" spans="1:11" x14ac:dyDescent="0.25">
      <c r="A36" s="6" t="s">
        <v>146</v>
      </c>
      <c r="B36" s="45">
        <f>B31/-B34</f>
        <v>0.50308479947</v>
      </c>
      <c r="C36" s="45">
        <f>C31/-C34</f>
        <v>1.7780967353</v>
      </c>
      <c r="D36" s="45">
        <f>D31/-D34</f>
        <v>1.8433319025</v>
      </c>
      <c r="E36" s="45">
        <f>E31/-E34</f>
        <v>1.8986318596</v>
      </c>
      <c r="F36" s="45">
        <f>F31/-F34</f>
        <v>1.9555908154</v>
      </c>
      <c r="G36" s="45">
        <f>G31/-G34</f>
        <v>2.0142585398</v>
      </c>
      <c r="H36" s="45">
        <f>H31/-H34</f>
        <v>2.074686296</v>
      </c>
      <c r="I36" s="45">
        <f>I31/-I34</f>
        <v>2.1369268849</v>
      </c>
      <c r="J36" s="45">
        <f>J31/-J34</f>
        <v>2.2010346914</v>
      </c>
      <c r="K36" s="45">
        <f>K31/-K34</f>
        <v>2.2670657322</v>
      </c>
    </row>
    <row r="37" spans="1:11" x14ac:dyDescent="0.25">
      <c r="A37" s="6" t="s">
        <v>147</v>
      </c>
      <c r="B37" s="46">
        <f>B31/'Debt Sizing'!$B$20</f>
        <v>0.038314099853</v>
      </c>
      <c r="C37" s="46">
        <f>C31/'Debt Sizing'!$B$20</f>
        <v>0.13723350603</v>
      </c>
      <c r="D37" s="46">
        <f>D31/'Debt Sizing'!$B$20</f>
        <v>0.14248955606</v>
      </c>
      <c r="E37" s="46">
        <f>E31/'Debt Sizing'!$B$20</f>
        <v>0.14676424274</v>
      </c>
      <c r="F37" s="46">
        <f>F31/'Debt Sizing'!$B$20</f>
        <v>0.15116717003</v>
      </c>
      <c r="G37" s="46">
        <f>G31/'Debt Sizing'!$B$20</f>
        <v>0.15570218513</v>
      </c>
      <c r="H37" s="46">
        <f>H31/'Debt Sizing'!$B$20</f>
        <v>0.16037325068</v>
      </c>
      <c r="I37" s="46">
        <f>I31/'Debt Sizing'!$B$20</f>
        <v>0.1651844482</v>
      </c>
      <c r="J37" s="46">
        <f>J31/'Debt Sizing'!$B$20</f>
        <v>0.17013998165</v>
      </c>
      <c r="K37" s="46">
        <f>K31/'Debt Sizing'!$B$20</f>
        <v>0.1752441811</v>
      </c>
    </row>
    <row r="38" spans="1:11" x14ac:dyDescent="0.25"/>
    <row r="39" spans="1:11" x14ac:dyDescent="0.25">
      <c r="A39" s="8" t="s">
        <v>148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t="s">
        <v>149</v>
      </c>
      <c r="B40" s="14">
        <f>D31</f>
        <v>1357838.5507</v>
      </c>
    </row>
    <row r="41" spans="1:11" x14ac:dyDescent="0.25">
      <c r="A41" t="s">
        <v>150</v>
      </c>
      <c r="B41" s="15">
        <f>Assumptions!B36</f>
        <v>0.0675</v>
      </c>
    </row>
    <row r="42" spans="1:11" x14ac:dyDescent="0.25"/>
    <row r="43" spans="1:11" x14ac:dyDescent="0.25">
      <c r="A43" s="6" t="s">
        <v>151</v>
      </c>
      <c r="B43" s="12">
        <f>D31/Assumptions!B36</f>
        <v>20116126.676</v>
      </c>
    </row>
    <row r="44" spans="1:11" x14ac:dyDescent="0.25">
      <c r="A44" t="s">
        <v>152</v>
      </c>
      <c r="B44" s="33">
        <f>B43/Assumptions!B4</f>
        <v>239.47769853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K44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0" customWidth="1"/>
    <col min="2" max="11" width="12.5" customWidth="1"/>
  </cols>
  <sheetData>
    <row r="1" spans="1:11" x14ac:dyDescent="0.25">
      <c r="A1" s="1" t="s">
        <v>153</v>
      </c>
    </row>
    <row r="2" spans="1:11" x14ac:dyDescent="0.25">
      <c r="A2" s="3" t="s">
        <v>111</v>
      </c>
    </row>
    <row r="3" spans="1:11" x14ac:dyDescent="0.25"/>
    <row r="4" spans="1:11" x14ac:dyDescent="0.25">
      <c r="A4" s="6" t="s">
        <v>112</v>
      </c>
      <c r="B4" s="41">
        <v>46630</v>
      </c>
      <c r="C4" s="41">
        <v>46996</v>
      </c>
      <c r="D4" s="41">
        <v>47361</v>
      </c>
      <c r="E4" s="41">
        <v>47726</v>
      </c>
      <c r="F4" s="41">
        <v>48091</v>
      </c>
      <c r="G4" s="41">
        <v>48457</v>
      </c>
      <c r="H4" s="41">
        <v>48822</v>
      </c>
      <c r="I4" s="41">
        <v>49187</v>
      </c>
      <c r="J4" s="41">
        <v>49552</v>
      </c>
      <c r="K4" s="41">
        <v>49918</v>
      </c>
    </row>
    <row r="5" spans="1:11" x14ac:dyDescent="0.25">
      <c r="A5" s="6" t="s">
        <v>102</v>
      </c>
      <c r="B5" s="42" t="s">
        <v>103</v>
      </c>
      <c r="C5" s="42" t="s">
        <v>104</v>
      </c>
      <c r="D5" s="42" t="s">
        <v>105</v>
      </c>
      <c r="E5" s="42" t="s">
        <v>106</v>
      </c>
      <c r="F5" s="42" t="s">
        <v>113</v>
      </c>
      <c r="G5" s="42" t="s">
        <v>114</v>
      </c>
      <c r="H5" s="42" t="s">
        <v>115</v>
      </c>
      <c r="I5" s="42" t="s">
        <v>116</v>
      </c>
      <c r="J5" s="42" t="s">
        <v>117</v>
      </c>
      <c r="K5" s="42" t="s">
        <v>118</v>
      </c>
    </row>
    <row r="6" spans="1:11" x14ac:dyDescent="0.25">
      <c r="A6" s="8" t="s">
        <v>119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t="s">
        <v>120</v>
      </c>
      <c r="B7" s="29">
        <v>1900000</v>
      </c>
      <c r="C7" s="29">
        <v>1995000</v>
      </c>
      <c r="D7" s="14">
        <f>C7*(1+Assumptions!$B$25)</f>
        <v>2054850</v>
      </c>
      <c r="E7" s="14">
        <f>D7*(1+Assumptions!$B$25)</f>
        <v>2116495.5</v>
      </c>
      <c r="F7" s="14">
        <f>E7*(1+Assumptions!$B$25)</f>
        <v>2179990.365</v>
      </c>
      <c r="G7" s="14">
        <f>F7*(1+Assumptions!$B$25)</f>
        <v>2245390.076</v>
      </c>
      <c r="H7" s="14">
        <f>G7*(1+Assumptions!$B$25)</f>
        <v>2312751.7782</v>
      </c>
      <c r="I7" s="14">
        <f>H7*(1+Assumptions!$B$25)</f>
        <v>2382134.3316</v>
      </c>
      <c r="J7" s="14">
        <f>I7*(1+Assumptions!$B$25)</f>
        <v>2453598.3615</v>
      </c>
      <c r="K7" s="14">
        <f>J7*(1+Assumptions!$B$25)</f>
        <v>2527206.3124</v>
      </c>
    </row>
    <row r="8" spans="1:11" x14ac:dyDescent="0.25">
      <c r="A8" t="s">
        <v>121</v>
      </c>
      <c r="B8" s="29">
        <v>320000</v>
      </c>
      <c r="C8" s="29">
        <v>330000</v>
      </c>
      <c r="D8" s="14">
        <f>C8*(1+Assumptions!$B$25)</f>
        <v>339900</v>
      </c>
      <c r="E8" s="14">
        <f>D8*(1+Assumptions!$B$25)</f>
        <v>350097</v>
      </c>
      <c r="F8" s="14">
        <f>E8*(1+Assumptions!$B$25)</f>
        <v>360599.91</v>
      </c>
      <c r="G8" s="14">
        <f>F8*(1+Assumptions!$B$25)</f>
        <v>371417.9073</v>
      </c>
      <c r="H8" s="14">
        <f>G8*(1+Assumptions!$B$25)</f>
        <v>382560.44452</v>
      </c>
      <c r="I8" s="14">
        <f>H8*(1+Assumptions!$B$25)</f>
        <v>394037.25785</v>
      </c>
      <c r="J8" s="14">
        <f>I8*(1+Assumptions!$B$25)</f>
        <v>405858.37559</v>
      </c>
      <c r="K8" s="14">
        <f>J8*(1+Assumptions!$B$25)</f>
        <v>418034.12686</v>
      </c>
    </row>
    <row r="9" spans="1:11" x14ac:dyDescent="0.25">
      <c r="A9" t="s">
        <v>122</v>
      </c>
      <c r="B9" s="29">
        <v>150000</v>
      </c>
      <c r="C9" s="29">
        <v>155000</v>
      </c>
      <c r="D9" s="14">
        <f>C9*(1+Assumptions!$B$25)</f>
        <v>159650</v>
      </c>
      <c r="E9" s="14">
        <f>D9*(1+Assumptions!$B$25)</f>
        <v>164439.5</v>
      </c>
      <c r="F9" s="14">
        <f>E9*(1+Assumptions!$B$25)</f>
        <v>169372.685</v>
      </c>
      <c r="G9" s="14">
        <f>F9*(1+Assumptions!$B$25)</f>
        <v>174453.86555</v>
      </c>
      <c r="H9" s="14">
        <f>G9*(1+Assumptions!$B$25)</f>
        <v>179687.48152</v>
      </c>
      <c r="I9" s="14">
        <f>H9*(1+Assumptions!$B$25)</f>
        <v>185078.10596</v>
      </c>
      <c r="J9" s="14">
        <f>I9*(1+Assumptions!$B$25)</f>
        <v>190630.44914</v>
      </c>
      <c r="K9" s="14">
        <f>J9*(1+Assumptions!$B$25)</f>
        <v>196349.36262</v>
      </c>
    </row>
    <row r="10" spans="1:11" x14ac:dyDescent="0.25">
      <c r="A10" t="s">
        <v>123</v>
      </c>
      <c r="B10" s="29">
        <v>80000</v>
      </c>
      <c r="C10" s="29">
        <v>82000</v>
      </c>
      <c r="D10" s="14">
        <f>C10*(1+Assumptions!$B$25)</f>
        <v>84460</v>
      </c>
      <c r="E10" s="14">
        <f>D10*(1+Assumptions!$B$25)</f>
        <v>86993.8</v>
      </c>
      <c r="F10" s="14">
        <f>E10*(1+Assumptions!$B$25)</f>
        <v>89603.614</v>
      </c>
      <c r="G10" s="14">
        <f>F10*(1+Assumptions!$B$25)</f>
        <v>92291.72242</v>
      </c>
      <c r="H10" s="14">
        <f>G10*(1+Assumptions!$B$25)</f>
        <v>95060.474093</v>
      </c>
      <c r="I10" s="14">
        <f>H10*(1+Assumptions!$B$25)</f>
        <v>97912.288315</v>
      </c>
      <c r="J10" s="14">
        <f>I10*(1+Assumptions!$B$25)</f>
        <v>100849.65696</v>
      </c>
      <c r="K10" s="14">
        <f>J10*(1+Assumptions!$B$25)</f>
        <v>103875.14667</v>
      </c>
    </row>
    <row r="11" spans="1:11" x14ac:dyDescent="0.25">
      <c r="A11" s="6" t="s">
        <v>124</v>
      </c>
      <c r="B11" s="30">
        <f>SUM(B7:B10)</f>
        <v>2450000</v>
      </c>
      <c r="C11" s="30">
        <f>SUM(C7:C10)</f>
        <v>2562000</v>
      </c>
      <c r="D11" s="30">
        <f>SUM(D7:D10)</f>
        <v>2638860</v>
      </c>
      <c r="E11" s="30">
        <f>SUM(E7:E10)</f>
        <v>2718025.8</v>
      </c>
      <c r="F11" s="30">
        <f>SUM(F7:F10)</f>
        <v>2799566.574</v>
      </c>
      <c r="G11" s="30">
        <f>SUM(G7:G10)</f>
        <v>2883553.5712</v>
      </c>
      <c r="H11" s="30">
        <f>SUM(H7:H10)</f>
        <v>2970060.1784</v>
      </c>
      <c r="I11" s="30">
        <f>SUM(I7:I10)</f>
        <v>3059161.9837</v>
      </c>
      <c r="J11" s="30">
        <f>SUM(J7:J10)</f>
        <v>3150936.8432</v>
      </c>
      <c r="K11" s="30">
        <f>SUM(K7:K10)</f>
        <v>3245464.9485</v>
      </c>
    </row>
    <row r="12" spans="1:11" x14ac:dyDescent="0.25">
      <c r="A12" t="s">
        <v>125</v>
      </c>
      <c r="B12" s="14">
        <f>-B11*(1-'Scenario Assumptions'!B$12)</f>
        <v>-980000</v>
      </c>
      <c r="C12" s="14">
        <f>-C11*(1-'Scenario Assumptions'!C$12)</f>
        <v>-128100</v>
      </c>
      <c r="D12" s="14">
        <f>-D11*(1-'Scenario Assumptions'!D$12)</f>
        <v>-131943</v>
      </c>
      <c r="E12" s="14">
        <f>-E11*(1-'Scenario Assumptions'!E$12)</f>
        <v>-135901.29</v>
      </c>
      <c r="F12" s="14">
        <f>-F11*(1-'Scenario Assumptions'!$E$12)</f>
        <v>-139978.3287</v>
      </c>
      <c r="G12" s="14">
        <f>-G11*(1-'Scenario Assumptions'!$E$12)</f>
        <v>-144177.67856</v>
      </c>
      <c r="H12" s="14">
        <f>-H11*(1-'Scenario Assumptions'!$E$12)</f>
        <v>-148503.00892</v>
      </c>
      <c r="I12" s="14">
        <f>-I11*(1-'Scenario Assumptions'!$E$12)</f>
        <v>-152958.09919</v>
      </c>
      <c r="J12" s="14">
        <f>-J11*(1-'Scenario Assumptions'!$E$12)</f>
        <v>-157546.84216</v>
      </c>
      <c r="K12" s="14">
        <f>-K11*(1-'Scenario Assumptions'!$E$12)</f>
        <v>-162273.24743</v>
      </c>
    </row>
    <row r="13" spans="1:11" x14ac:dyDescent="0.25">
      <c r="A13" t="s">
        <v>126</v>
      </c>
      <c r="B13" s="29">
        <v>-30000</v>
      </c>
      <c r="C13" s="29">
        <v>-15000</v>
      </c>
      <c r="D13" s="14">
        <f>-D11*0.5%</f>
        <v>-13194.3</v>
      </c>
      <c r="E13" s="14">
        <f>-E11*0.5%</f>
        <v>-13590.129</v>
      </c>
      <c r="F13" s="14">
        <f>-F11*0.5%</f>
        <v>-13997.83287</v>
      </c>
      <c r="G13" s="14">
        <f>-G11*0.5%</f>
        <v>-14417.767856</v>
      </c>
      <c r="H13" s="14">
        <f>-H11*0.5%</f>
        <v>-14850.300892</v>
      </c>
      <c r="I13" s="14">
        <f>-I11*0.5%</f>
        <v>-15295.809919</v>
      </c>
      <c r="J13" s="14">
        <f>-J11*0.5%</f>
        <v>-15754.684216</v>
      </c>
      <c r="K13" s="14">
        <f>-K11*0.5%</f>
        <v>-16227.324743</v>
      </c>
    </row>
    <row r="14" spans="1:11" x14ac:dyDescent="0.25">
      <c r="A14" s="6" t="s">
        <v>127</v>
      </c>
      <c r="B14" s="12">
        <f>SUM(B11:B13)</f>
        <v>1440000</v>
      </c>
      <c r="C14" s="12">
        <f>SUM(C11:C13)</f>
        <v>2418900</v>
      </c>
      <c r="D14" s="12">
        <f>SUM(D11:D13)</f>
        <v>2493722.7</v>
      </c>
      <c r="E14" s="12">
        <f>SUM(E11:E13)</f>
        <v>2568534.381</v>
      </c>
      <c r="F14" s="12">
        <f>SUM(F11:F13)</f>
        <v>2645590.4124</v>
      </c>
      <c r="G14" s="12">
        <f>SUM(G11:G13)</f>
        <v>2724958.1248</v>
      </c>
      <c r="H14" s="12">
        <f>SUM(H11:H13)</f>
        <v>2806706.8685</v>
      </c>
      <c r="I14" s="12">
        <f>SUM(I11:I13)</f>
        <v>2890908.0746</v>
      </c>
      <c r="J14" s="12">
        <f>SUM(J11:J13)</f>
        <v>2977635.3168</v>
      </c>
      <c r="K14" s="12">
        <f>SUM(K11:K13)</f>
        <v>3066964.3763</v>
      </c>
    </row>
    <row r="15" spans="1:11" x14ac:dyDescent="0.25">
      <c r="A15" t="s">
        <v>154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</row>
    <row r="16" spans="1:11" x14ac:dyDescent="0.25">
      <c r="A16" s="6" t="s">
        <v>129</v>
      </c>
      <c r="B16" s="30">
        <f>B14+B15</f>
        <v>1440000</v>
      </c>
      <c r="C16" s="30">
        <f>C14+C15</f>
        <v>2418900</v>
      </c>
      <c r="D16" s="30">
        <f>D14+D15</f>
        <v>2493722.7</v>
      </c>
      <c r="E16" s="30">
        <f>E14+E15</f>
        <v>2568534.381</v>
      </c>
      <c r="F16" s="30">
        <f>F14+F15</f>
        <v>2645590.4124</v>
      </c>
      <c r="G16" s="30">
        <f>G14+G15</f>
        <v>2724958.1248</v>
      </c>
      <c r="H16" s="30">
        <f>H14+H15</f>
        <v>2806706.8685</v>
      </c>
      <c r="I16" s="30">
        <f>I14+I15</f>
        <v>2890908.0746</v>
      </c>
      <c r="J16" s="30">
        <f>J14+J15</f>
        <v>2977635.3168</v>
      </c>
      <c r="K16" s="30">
        <f>K14+K15</f>
        <v>3066964.3763</v>
      </c>
    </row>
    <row r="17" spans="1:11" x14ac:dyDescent="0.25"/>
    <row r="18" spans="1:11" x14ac:dyDescent="0.25">
      <c r="A18" s="8" t="s">
        <v>130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t="s">
        <v>131</v>
      </c>
      <c r="B19" s="29">
        <v>-70000</v>
      </c>
      <c r="C19" s="29">
        <v>-72000</v>
      </c>
      <c r="D19" s="14">
        <f>C19*(1+Assumptions!$B$25)</f>
        <v>-74160</v>
      </c>
      <c r="E19" s="14">
        <f>D19*(1+Assumptions!$B$25)</f>
        <v>-76384.8</v>
      </c>
      <c r="F19" s="14">
        <f>E19*(1+Assumptions!$B$25)</f>
        <v>-78676.344</v>
      </c>
      <c r="G19" s="14">
        <f>F19*(1+Assumptions!$B$25)</f>
        <v>-81036.63432</v>
      </c>
      <c r="H19" s="14">
        <f>G19*(1+Assumptions!$B$25)</f>
        <v>-83467.73335</v>
      </c>
      <c r="I19" s="14">
        <f>H19*(1+Assumptions!$B$25)</f>
        <v>-85971.76535</v>
      </c>
      <c r="J19" s="14">
        <f>I19*(1+Assumptions!$B$25)</f>
        <v>-88550.918311</v>
      </c>
      <c r="K19" s="14">
        <f>J19*(1+Assumptions!$B$25)</f>
        <v>-91207.44586</v>
      </c>
    </row>
    <row r="20" spans="1:11" x14ac:dyDescent="0.25">
      <c r="A20" t="s">
        <v>132</v>
      </c>
      <c r="B20" s="29">
        <v>-88000</v>
      </c>
      <c r="C20" s="29">
        <v>-92000</v>
      </c>
      <c r="D20" s="14">
        <f>C20*(1+Assumptions!$B$25)</f>
        <v>-94760</v>
      </c>
      <c r="E20" s="14">
        <f>D20*(1+Assumptions!$B$25)</f>
        <v>-97602.8</v>
      </c>
      <c r="F20" s="14">
        <f>E20*(1+Assumptions!$B$25)</f>
        <v>-100530.884</v>
      </c>
      <c r="G20" s="14">
        <f>F20*(1+Assumptions!$B$25)</f>
        <v>-103546.81052</v>
      </c>
      <c r="H20" s="14">
        <f>G20*(1+Assumptions!$B$25)</f>
        <v>-106653.21484</v>
      </c>
      <c r="I20" s="14">
        <f>H20*(1+Assumptions!$B$25)</f>
        <v>-109852.81128</v>
      </c>
      <c r="J20" s="14">
        <f>I20*(1+Assumptions!$B$25)</f>
        <v>-113148.39562</v>
      </c>
      <c r="K20" s="14">
        <f>J20*(1+Assumptions!$B$25)</f>
        <v>-116542.84749</v>
      </c>
    </row>
    <row r="21" spans="1:11" x14ac:dyDescent="0.25">
      <c r="A21" t="s">
        <v>133</v>
      </c>
      <c r="B21" s="29">
        <v>-195000</v>
      </c>
      <c r="C21" s="29">
        <v>-205000</v>
      </c>
      <c r="D21" s="14">
        <f>C21*(1+Assumptions!$B$25)</f>
        <v>-211150</v>
      </c>
      <c r="E21" s="14">
        <f>D21*(1+Assumptions!$B$25)</f>
        <v>-217484.5</v>
      </c>
      <c r="F21" s="14">
        <f>E21*(1+Assumptions!$B$25)</f>
        <v>-224009.035</v>
      </c>
      <c r="G21" s="14">
        <f>F21*(1+Assumptions!$B$25)</f>
        <v>-230729.30605</v>
      </c>
      <c r="H21" s="14">
        <f>G21*(1+Assumptions!$B$25)</f>
        <v>-237651.18523</v>
      </c>
      <c r="I21" s="14">
        <f>H21*(1+Assumptions!$B$25)</f>
        <v>-244780.72079</v>
      </c>
      <c r="J21" s="14">
        <f>I21*(1+Assumptions!$B$25)</f>
        <v>-252124.14241</v>
      </c>
      <c r="K21" s="14">
        <f>J21*(1+Assumptions!$B$25)</f>
        <v>-259687.86668</v>
      </c>
    </row>
    <row r="22" spans="1:11" x14ac:dyDescent="0.25">
      <c r="A22" t="s">
        <v>134</v>
      </c>
      <c r="B22" s="14">
        <f>-B16*5%</f>
        <v>-72000</v>
      </c>
      <c r="C22" s="14">
        <f>-C16*5%</f>
        <v>-120945</v>
      </c>
      <c r="D22" s="14">
        <f>-D16*5%</f>
        <v>-124686.135</v>
      </c>
      <c r="E22" s="14">
        <f>-E16*5%</f>
        <v>-128426.71905</v>
      </c>
      <c r="F22" s="14">
        <f>-F16*5%</f>
        <v>-132279.52062</v>
      </c>
      <c r="G22" s="14">
        <f>-G16*5%</f>
        <v>-136247.90624</v>
      </c>
      <c r="H22" s="14">
        <f>-H16*5%</f>
        <v>-140335.34343</v>
      </c>
      <c r="I22" s="14">
        <f>-I16*5%</f>
        <v>-144545.40373</v>
      </c>
      <c r="J22" s="14">
        <f>-J16*5%</f>
        <v>-148881.76584</v>
      </c>
      <c r="K22" s="14">
        <f>-K16*5%</f>
        <v>-153348.21882</v>
      </c>
    </row>
    <row r="23" spans="1:11" x14ac:dyDescent="0.25">
      <c r="A23" t="s">
        <v>135</v>
      </c>
      <c r="B23" s="29">
        <v>-118000</v>
      </c>
      <c r="C23" s="29">
        <v>-121000</v>
      </c>
      <c r="D23" s="14">
        <f>C23*(1+Assumptions!$B$25)</f>
        <v>-124630</v>
      </c>
      <c r="E23" s="14">
        <f>D23*(1+Assumptions!$B$25)</f>
        <v>-128368.9</v>
      </c>
      <c r="F23" s="14">
        <f>E23*(1+Assumptions!$B$25)</f>
        <v>-132219.967</v>
      </c>
      <c r="G23" s="14">
        <f>F23*(1+Assumptions!$B$25)</f>
        <v>-136186.56601</v>
      </c>
      <c r="H23" s="14">
        <f>G23*(1+Assumptions!$B$25)</f>
        <v>-140272.16299</v>
      </c>
      <c r="I23" s="14">
        <f>H23*(1+Assumptions!$B$25)</f>
        <v>-144480.32788</v>
      </c>
      <c r="J23" s="14">
        <f>I23*(1+Assumptions!$B$25)</f>
        <v>-148814.73772</v>
      </c>
      <c r="K23" s="14">
        <f>J23*(1+Assumptions!$B$25)</f>
        <v>-153279.17985</v>
      </c>
    </row>
    <row r="24" spans="1:11" x14ac:dyDescent="0.25">
      <c r="A24" t="s">
        <v>136</v>
      </c>
      <c r="B24" s="29">
        <v>-24000</v>
      </c>
      <c r="C24" s="29">
        <v>-25000</v>
      </c>
      <c r="D24" s="14">
        <f>C24*(1+Assumptions!$B$25)</f>
        <v>-25750</v>
      </c>
      <c r="E24" s="14">
        <f>D24*(1+Assumptions!$B$25)</f>
        <v>-26522.5</v>
      </c>
      <c r="F24" s="14">
        <f>E24*(1+Assumptions!$B$25)</f>
        <v>-27318.175</v>
      </c>
      <c r="G24" s="14">
        <f>F24*(1+Assumptions!$B$25)</f>
        <v>-28137.72025</v>
      </c>
      <c r="H24" s="14">
        <f>G24*(1+Assumptions!$B$25)</f>
        <v>-28981.851857</v>
      </c>
      <c r="I24" s="14">
        <f>H24*(1+Assumptions!$B$25)</f>
        <v>-29851.307413</v>
      </c>
      <c r="J24" s="14">
        <f>I24*(1+Assumptions!$B$25)</f>
        <v>-30746.846636</v>
      </c>
      <c r="K24" s="14">
        <f>J24*(1+Assumptions!$B$25)</f>
        <v>-31669.252035</v>
      </c>
    </row>
    <row r="25" spans="1:11" x14ac:dyDescent="0.25">
      <c r="A25" t="s">
        <v>137</v>
      </c>
      <c r="B25" s="29">
        <v>-60000</v>
      </c>
      <c r="C25" s="29">
        <v>-45000</v>
      </c>
      <c r="D25" s="14">
        <f>C25*(1+Assumptions!$B$25)</f>
        <v>-46350</v>
      </c>
      <c r="E25" s="14">
        <f>D25*(1+Assumptions!$B$25)</f>
        <v>-47740.5</v>
      </c>
      <c r="F25" s="14">
        <f>E25*(1+Assumptions!$B$25)</f>
        <v>-49172.715</v>
      </c>
      <c r="G25" s="14">
        <f>F25*(1+Assumptions!$B$25)</f>
        <v>-50647.89645</v>
      </c>
      <c r="H25" s="14">
        <f>G25*(1+Assumptions!$B$25)</f>
        <v>-52167.333344</v>
      </c>
      <c r="I25" s="14">
        <f>H25*(1+Assumptions!$B$25)</f>
        <v>-53732.353344</v>
      </c>
      <c r="J25" s="14">
        <f>I25*(1+Assumptions!$B$25)</f>
        <v>-55344.323944</v>
      </c>
      <c r="K25" s="14">
        <f>J25*(1+Assumptions!$B$25)</f>
        <v>-57004.653662</v>
      </c>
    </row>
    <row r="26" spans="1:11" x14ac:dyDescent="0.25">
      <c r="A26" t="s">
        <v>138</v>
      </c>
      <c r="B26" s="29">
        <v>-52000</v>
      </c>
      <c r="C26" s="29">
        <v>-54000</v>
      </c>
      <c r="D26" s="14">
        <f>C26*(1+Assumptions!$B$25)</f>
        <v>-55620</v>
      </c>
      <c r="E26" s="14">
        <f>D26*(1+Assumptions!$B$25)</f>
        <v>-57288.6</v>
      </c>
      <c r="F26" s="14">
        <f>E26*(1+Assumptions!$B$25)</f>
        <v>-59007.258</v>
      </c>
      <c r="G26" s="14">
        <f>F26*(1+Assumptions!$B$25)</f>
        <v>-60777.47574</v>
      </c>
      <c r="H26" s="14">
        <f>G26*(1+Assumptions!$B$25)</f>
        <v>-62600.800012</v>
      </c>
      <c r="I26" s="14">
        <f>H26*(1+Assumptions!$B$25)</f>
        <v>-64478.824013</v>
      </c>
      <c r="J26" s="14">
        <f>I26*(1+Assumptions!$B$25)</f>
        <v>-66413.188733</v>
      </c>
      <c r="K26" s="14">
        <f>J26*(1+Assumptions!$B$25)</f>
        <v>-68405.584395</v>
      </c>
    </row>
    <row r="27" spans="1:11" x14ac:dyDescent="0.25">
      <c r="A27" t="s">
        <v>139</v>
      </c>
      <c r="B27" s="29">
        <v>-26000</v>
      </c>
      <c r="C27" s="29">
        <v>-27000</v>
      </c>
      <c r="D27" s="14">
        <f>C27*(1+Assumptions!$B$25)</f>
        <v>-27810</v>
      </c>
      <c r="E27" s="14">
        <f>D27*(1+Assumptions!$B$25)</f>
        <v>-28644.3</v>
      </c>
      <c r="F27" s="14">
        <f>E27*(1+Assumptions!$B$25)</f>
        <v>-29503.629</v>
      </c>
      <c r="G27" s="14">
        <f>F27*(1+Assumptions!$B$25)</f>
        <v>-30388.73787</v>
      </c>
      <c r="H27" s="14">
        <f>G27*(1+Assumptions!$B$25)</f>
        <v>-31300.400006</v>
      </c>
      <c r="I27" s="14">
        <f>H27*(1+Assumptions!$B$25)</f>
        <v>-32239.412006</v>
      </c>
      <c r="J27" s="14">
        <f>I27*(1+Assumptions!$B$25)</f>
        <v>-33206.594366</v>
      </c>
      <c r="K27" s="14">
        <f>J27*(1+Assumptions!$B$25)</f>
        <v>-34202.792197</v>
      </c>
    </row>
    <row r="28" spans="1:11" x14ac:dyDescent="0.25">
      <c r="A28" t="s">
        <v>140</v>
      </c>
      <c r="B28" s="29">
        <v>-22000</v>
      </c>
      <c r="C28" s="29">
        <v>-23000</v>
      </c>
      <c r="D28" s="14">
        <f>C28*(1+Assumptions!$B$25)</f>
        <v>-23690</v>
      </c>
      <c r="E28" s="14">
        <f>D28*(1+Assumptions!$B$25)</f>
        <v>-24400.7</v>
      </c>
      <c r="F28" s="14">
        <f>E28*(1+Assumptions!$B$25)</f>
        <v>-25132.721</v>
      </c>
      <c r="G28" s="14">
        <f>F28*(1+Assumptions!$B$25)</f>
        <v>-25886.70263</v>
      </c>
      <c r="H28" s="14">
        <f>G28*(1+Assumptions!$B$25)</f>
        <v>-26663.303709</v>
      </c>
      <c r="I28" s="14">
        <f>H28*(1+Assumptions!$B$25)</f>
        <v>-27463.20282</v>
      </c>
      <c r="J28" s="14">
        <f>I28*(1+Assumptions!$B$25)</f>
        <v>-28287.098905</v>
      </c>
      <c r="K28" s="14">
        <f>J28*(1+Assumptions!$B$25)</f>
        <v>-29135.711872</v>
      </c>
    </row>
    <row r="29" spans="1:11" x14ac:dyDescent="0.25">
      <c r="A29" s="6" t="s">
        <v>141</v>
      </c>
      <c r="B29" s="30">
        <f>SUM(B19:B28)</f>
        <v>-727000</v>
      </c>
      <c r="C29" s="30">
        <f>SUM(C19:C28)</f>
        <v>-784945</v>
      </c>
      <c r="D29" s="30">
        <f>SUM(D19:D28)</f>
        <v>-808606.135</v>
      </c>
      <c r="E29" s="30">
        <f>SUM(E19:E28)</f>
        <v>-832864.31905</v>
      </c>
      <c r="F29" s="30">
        <f>SUM(F19:F28)</f>
        <v>-857850.24862</v>
      </c>
      <c r="G29" s="30">
        <f>SUM(G19:G28)</f>
        <v>-883585.75608</v>
      </c>
      <c r="H29" s="30">
        <f>SUM(H19:H28)</f>
        <v>-910093.32876</v>
      </c>
      <c r="I29" s="30">
        <f>SUM(I19:I28)</f>
        <v>-937396.12863</v>
      </c>
      <c r="J29" s="30">
        <f>SUM(J19:J28)</f>
        <v>-965518.01248</v>
      </c>
      <c r="K29" s="30">
        <f>SUM(K19:K28)</f>
        <v>-994483.55286</v>
      </c>
    </row>
    <row r="30" spans="1:11" x14ac:dyDescent="0.25"/>
    <row r="31" spans="1:11" x14ac:dyDescent="0.25">
      <c r="A31" s="5" t="s">
        <v>142</v>
      </c>
      <c r="B31" s="43">
        <f>B16+B29</f>
        <v>713000</v>
      </c>
      <c r="C31" s="43">
        <f>C16+C29</f>
        <v>1633955</v>
      </c>
      <c r="D31" s="43">
        <f>D16+D29</f>
        <v>1685116.565</v>
      </c>
      <c r="E31" s="43">
        <f>E16+E29</f>
        <v>1735670.0619</v>
      </c>
      <c r="F31" s="43">
        <f>F16+F29</f>
        <v>1787740.1638</v>
      </c>
      <c r="G31" s="43">
        <f>G16+G29</f>
        <v>1841372.3687</v>
      </c>
      <c r="H31" s="43">
        <f>H16+H29</f>
        <v>1896613.5398</v>
      </c>
      <c r="I31" s="43">
        <f>I16+I29</f>
        <v>1953511.946</v>
      </c>
      <c r="J31" s="43">
        <f>J16+J29</f>
        <v>2012117.3044</v>
      </c>
      <c r="K31" s="43">
        <f>K16+K29</f>
        <v>2072480.8235</v>
      </c>
    </row>
    <row r="32" spans="1:11" x14ac:dyDescent="0.25">
      <c r="A32" s="4" t="s">
        <v>143</v>
      </c>
      <c r="B32" s="44">
        <f>B31/B16</f>
        <v>0.49513888889</v>
      </c>
      <c r="C32" s="44">
        <f>C31/C16</f>
        <v>0.67549505974</v>
      </c>
      <c r="D32" s="44">
        <f>D31/D16</f>
        <v>0.67574336353</v>
      </c>
      <c r="E32" s="44">
        <f>E31/E16</f>
        <v>0.67574336353</v>
      </c>
      <c r="F32" s="44">
        <f>F31/F16</f>
        <v>0.67574336353</v>
      </c>
      <c r="G32" s="44">
        <f>G31/G16</f>
        <v>0.67574336353</v>
      </c>
      <c r="H32" s="44">
        <f>H31/H16</f>
        <v>0.67574336353</v>
      </c>
      <c r="I32" s="44">
        <f>I31/I16</f>
        <v>0.67574336353</v>
      </c>
      <c r="J32" s="44">
        <f>J31/J16</f>
        <v>0.67574336353</v>
      </c>
      <c r="K32" s="44">
        <f>K31/K16</f>
        <v>0.67574336353</v>
      </c>
    </row>
    <row r="33" spans="1:11" x14ac:dyDescent="0.25">
      <c r="A33" s="8" t="s">
        <v>144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t="s">
        <v>145</v>
      </c>
      <c r="B34" s="14">
        <f>-'Debt Sizing'!$B$20*SOFR!C$43</f>
        <v>-725742.46008</v>
      </c>
      <c r="C34" s="14">
        <f>-'Debt Sizing'!$B$20*SOFR!D$43</f>
        <v>-735478.3202</v>
      </c>
      <c r="D34" s="14">
        <f>-'Debt Sizing'!$B$20*SOFR!E$43</f>
        <v>-736621.847</v>
      </c>
      <c r="E34" s="14">
        <f>-'Debt Sizing'!$B$20*SOFR!F$43</f>
        <v>-736621.847</v>
      </c>
      <c r="F34" s="14">
        <f>-'Debt Sizing'!$B$20*SOFR!$F$43</f>
        <v>-736621.847</v>
      </c>
      <c r="G34" s="14">
        <f>-'Debt Sizing'!$B$20*SOFR!$F$43</f>
        <v>-736621.847</v>
      </c>
      <c r="H34" s="14">
        <f>-'Debt Sizing'!$B$20*SOFR!$F$43</f>
        <v>-736621.847</v>
      </c>
      <c r="I34" s="14">
        <f>-'Debt Sizing'!$B$20*SOFR!$F$43</f>
        <v>-736621.847</v>
      </c>
      <c r="J34" s="14">
        <f>-'Debt Sizing'!$B$20*SOFR!$F$43</f>
        <v>-736621.847</v>
      </c>
      <c r="K34" s="14">
        <f>-'Debt Sizing'!$B$20*SOFR!$F$43</f>
        <v>-736621.847</v>
      </c>
    </row>
    <row r="35" spans="1:11" x14ac:dyDescent="0.25"/>
    <row r="36" spans="1:11" x14ac:dyDescent="0.25">
      <c r="A36" s="6" t="s">
        <v>146</v>
      </c>
      <c r="B36" s="45">
        <f>B31/-B34</f>
        <v>0.98244217366</v>
      </c>
      <c r="C36" s="45">
        <f>C31/-C34</f>
        <v>2.2216222493</v>
      </c>
      <c r="D36" s="45">
        <f>D31/-D34</f>
        <v>2.2876277317</v>
      </c>
      <c r="E36" s="45">
        <f>E31/-E34</f>
        <v>2.3562565637</v>
      </c>
      <c r="F36" s="45">
        <f>F31/-F34</f>
        <v>2.4269442606</v>
      </c>
      <c r="G36" s="45">
        <f>G31/-G34</f>
        <v>2.4997525884</v>
      </c>
      <c r="H36" s="45">
        <f>H31/-H34</f>
        <v>2.5747451661</v>
      </c>
      <c r="I36" s="45">
        <f>I31/-I34</f>
        <v>2.6519875211</v>
      </c>
      <c r="J36" s="45">
        <f>J31/-J34</f>
        <v>2.7315471467</v>
      </c>
      <c r="K36" s="45">
        <f>K31/-K34</f>
        <v>2.8134935611</v>
      </c>
    </row>
    <row r="37" spans="1:11" x14ac:dyDescent="0.25">
      <c r="A37" s="6" t="s">
        <v>147</v>
      </c>
      <c r="B37" s="46">
        <f>B31/'Debt Sizing'!$B$20</f>
        <v>0.074821158542</v>
      </c>
      <c r="C37" s="46">
        <f>C31/'Debt Sizing'!$B$20</f>
        <v>0.1714648052</v>
      </c>
      <c r="D37" s="46">
        <f>D31/'Debt Sizing'!$B$20</f>
        <v>0.17683362366</v>
      </c>
      <c r="E37" s="46">
        <f>E31/'Debt Sizing'!$B$20</f>
        <v>0.18213863237</v>
      </c>
      <c r="F37" s="46">
        <f>F31/'Debt Sizing'!$B$20</f>
        <v>0.18760279134</v>
      </c>
      <c r="G37" s="46">
        <f>G31/'Debt Sizing'!$B$20</f>
        <v>0.19323087508</v>
      </c>
      <c r="H37" s="46">
        <f>H31/'Debt Sizing'!$B$20</f>
        <v>0.19902780134</v>
      </c>
      <c r="I37" s="46">
        <f>I31/'Debt Sizing'!$B$20</f>
        <v>0.20499863538</v>
      </c>
      <c r="J37" s="46">
        <f>J31/'Debt Sizing'!$B$20</f>
        <v>0.21114859444</v>
      </c>
      <c r="K37" s="46">
        <f>K31/'Debt Sizing'!$B$20</f>
        <v>0.21748305227</v>
      </c>
    </row>
    <row r="38" spans="1:11" x14ac:dyDescent="0.25"/>
    <row r="39" spans="1:11" x14ac:dyDescent="0.25">
      <c r="A39" s="8" t="s">
        <v>148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t="s">
        <v>149</v>
      </c>
      <c r="B40" s="14">
        <f>D31</f>
        <v>1685116.565</v>
      </c>
    </row>
    <row r="41" spans="1:11" x14ac:dyDescent="0.25">
      <c r="A41" t="s">
        <v>150</v>
      </c>
      <c r="B41" s="15">
        <f>Assumptions!B38</f>
        <v>0.065</v>
      </c>
    </row>
    <row r="42" spans="1:11" x14ac:dyDescent="0.25"/>
    <row r="43" spans="1:11" x14ac:dyDescent="0.25">
      <c r="A43" s="6" t="s">
        <v>151</v>
      </c>
      <c r="B43" s="12">
        <f>D31/Assumptions!B38</f>
        <v>25924870.231</v>
      </c>
    </row>
    <row r="44" spans="1:11" x14ac:dyDescent="0.25">
      <c r="A44" t="s">
        <v>152</v>
      </c>
      <c r="B44" s="33">
        <f>B43/Assumptions!B4</f>
        <v>308.62940751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K27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0" customWidth="1"/>
    <col min="2" max="11" width="12.5" customWidth="1"/>
  </cols>
  <sheetData>
    <row r="1" spans="1:11" x14ac:dyDescent="0.25">
      <c r="A1" s="1" t="s">
        <v>155</v>
      </c>
    </row>
    <row r="2" spans="1:11" x14ac:dyDescent="0.25">
      <c r="A2" s="3" t="s">
        <v>156</v>
      </c>
    </row>
    <row r="3" spans="1:11" x14ac:dyDescent="0.25"/>
    <row r="4" spans="1:11" x14ac:dyDescent="0.25">
      <c r="A4" s="6" t="s">
        <v>112</v>
      </c>
      <c r="B4" s="41">
        <v>46630</v>
      </c>
      <c r="C4" s="41">
        <v>46996</v>
      </c>
      <c r="D4" s="41">
        <v>47361</v>
      </c>
      <c r="E4" s="41">
        <v>47726</v>
      </c>
      <c r="F4" s="41">
        <v>48091</v>
      </c>
      <c r="G4" s="41">
        <v>48457</v>
      </c>
      <c r="H4" s="41">
        <v>48822</v>
      </c>
      <c r="I4" s="41">
        <v>49187</v>
      </c>
      <c r="J4" s="41">
        <v>49552</v>
      </c>
      <c r="K4" s="41">
        <v>49918</v>
      </c>
    </row>
    <row r="5" spans="1:11" x14ac:dyDescent="0.25">
      <c r="A5" s="6" t="s">
        <v>102</v>
      </c>
      <c r="B5" s="42" t="s">
        <v>103</v>
      </c>
      <c r="C5" s="42" t="s">
        <v>104</v>
      </c>
      <c r="D5" s="42" t="s">
        <v>105</v>
      </c>
      <c r="E5" s="42" t="s">
        <v>106</v>
      </c>
      <c r="F5" s="42" t="s">
        <v>113</v>
      </c>
      <c r="G5" s="42" t="s">
        <v>114</v>
      </c>
      <c r="H5" s="42" t="s">
        <v>115</v>
      </c>
      <c r="I5" s="42" t="s">
        <v>116</v>
      </c>
      <c r="J5" s="42" t="s">
        <v>117</v>
      </c>
      <c r="K5" s="42" t="s">
        <v>118</v>
      </c>
    </row>
    <row r="6" spans="1:11" x14ac:dyDescent="0.25">
      <c r="A6" s="8" t="s">
        <v>157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4" t="s">
        <v>158</v>
      </c>
    </row>
    <row r="8" spans="1:11" x14ac:dyDescent="0.25">
      <c r="A8" t="s">
        <v>159</v>
      </c>
      <c r="B8" s="33">
        <f>Assumptions!B28</f>
        <v>9.75</v>
      </c>
      <c r="C8" s="33">
        <f>B8*(1+Assumptions!$B$33)</f>
        <v>10.0425</v>
      </c>
      <c r="D8" s="33">
        <f>C8*(1+Assumptions!$B$33)</f>
        <v>10.343775</v>
      </c>
      <c r="E8" s="33">
        <f>D8*(1+Assumptions!$B$33)</f>
        <v>10.65408825</v>
      </c>
      <c r="F8" s="33">
        <f>E8*(1+Assumptions!$B$33)</f>
        <v>10.973710898</v>
      </c>
      <c r="G8" s="33">
        <f>F8*(1+Assumptions!$B$33)</f>
        <v>11.302922224</v>
      </c>
      <c r="H8" s="33">
        <f>G8*(1+Assumptions!$B$33)</f>
        <v>11.642009891</v>
      </c>
      <c r="I8" s="33">
        <f>H8*(1+Assumptions!$B$33)</f>
        <v>11.991270188</v>
      </c>
      <c r="J8" s="33">
        <f>I8*(1+Assumptions!$B$33)</f>
        <v>12.351008294</v>
      </c>
      <c r="K8" s="33">
        <f>J8*(1+Assumptions!$B$33)</f>
        <v>12.721538542</v>
      </c>
    </row>
    <row r="9" spans="1:11" x14ac:dyDescent="0.25">
      <c r="A9" t="s">
        <v>160</v>
      </c>
      <c r="B9" s="14">
        <f>Assumptions!$B$4*B8</f>
        <v>819000</v>
      </c>
      <c r="C9" s="14">
        <f>Assumptions!$B$4*C8</f>
        <v>843570</v>
      </c>
      <c r="D9" s="14">
        <f>Assumptions!$B$4*D8</f>
        <v>868877.1</v>
      </c>
      <c r="E9" s="14">
        <f>Assumptions!$B$4*E8</f>
        <v>894943.413</v>
      </c>
      <c r="F9" s="14">
        <f>Assumptions!$B$4*F8</f>
        <v>921791.71539</v>
      </c>
      <c r="G9" s="14">
        <f>Assumptions!$B$4*G8</f>
        <v>949445.46685</v>
      </c>
      <c r="H9" s="14">
        <f>Assumptions!$B$4*H8</f>
        <v>977928.83086</v>
      </c>
      <c r="I9" s="14">
        <f>Assumptions!$B$4*I8</f>
        <v>1007266.6958</v>
      </c>
      <c r="J9" s="14">
        <f>Assumptions!$B$4*J8</f>
        <v>1037484.6967</v>
      </c>
      <c r="K9" s="14">
        <f>Assumptions!$B$4*K8</f>
        <v>1068609.2376</v>
      </c>
    </row>
    <row r="10" spans="1:11" x14ac:dyDescent="0.25">
      <c r="A10" t="s">
        <v>161</v>
      </c>
      <c r="B10" s="47">
        <f>'Scenario Assumptions'!B$13</f>
        <v>0</v>
      </c>
      <c r="C10" s="47">
        <f>'Scenario Assumptions'!C$13</f>
        <v>0.6</v>
      </c>
      <c r="D10" s="47">
        <f>'Scenario Assumptions'!D$13</f>
        <v>0.93</v>
      </c>
      <c r="E10" s="47">
        <f>'Scenario Assumptions'!E$13</f>
        <v>0.93</v>
      </c>
      <c r="F10" s="47">
        <f>'Scenario Assumptions'!$E$13</f>
        <v>0.93</v>
      </c>
      <c r="G10" s="47">
        <f>'Scenario Assumptions'!$E$13</f>
        <v>0.93</v>
      </c>
      <c r="H10" s="47">
        <f>'Scenario Assumptions'!$E$13</f>
        <v>0.93</v>
      </c>
      <c r="I10" s="47">
        <f>'Scenario Assumptions'!$E$13</f>
        <v>0.93</v>
      </c>
      <c r="J10" s="47">
        <f>'Scenario Assumptions'!$E$13</f>
        <v>0.93</v>
      </c>
      <c r="K10" s="47">
        <f>'Scenario Assumptions'!$E$13</f>
        <v>0.93</v>
      </c>
    </row>
    <row r="11" spans="1:11" x14ac:dyDescent="0.25">
      <c r="A11" s="6" t="s">
        <v>162</v>
      </c>
      <c r="B11" s="12">
        <f>B9*B10</f>
        <v>0</v>
      </c>
      <c r="C11" s="12">
        <f>C9*C10</f>
        <v>506142</v>
      </c>
      <c r="D11" s="12">
        <f>D9*D10</f>
        <v>808055.703</v>
      </c>
      <c r="E11" s="12">
        <f>E9*E10</f>
        <v>832297.37409</v>
      </c>
      <c r="F11" s="12">
        <f>F9*F10</f>
        <v>857266.29531</v>
      </c>
      <c r="G11" s="12">
        <f>G9*G10</f>
        <v>882984.28417</v>
      </c>
      <c r="H11" s="12">
        <f>H9*H10</f>
        <v>909473.8127</v>
      </c>
      <c r="I11" s="12">
        <f>I9*I10</f>
        <v>936758.02708</v>
      </c>
      <c r="J11" s="12">
        <f>J9*J10</f>
        <v>964860.76789</v>
      </c>
      <c r="K11" s="12">
        <f>K9*K10</f>
        <v>993806.59093</v>
      </c>
    </row>
    <row r="12" spans="1:11" x14ac:dyDescent="0.25">
      <c r="A12" t="s">
        <v>163</v>
      </c>
      <c r="B12" s="14">
        <f>-B11*3%</f>
        <v>0</v>
      </c>
      <c r="C12" s="14">
        <f>-C11*3%</f>
        <v>-15184.26</v>
      </c>
      <c r="D12" s="14">
        <f>-D11*3%</f>
        <v>-24241.67109</v>
      </c>
      <c r="E12" s="14">
        <f>-E11*3%</f>
        <v>-24968.921223</v>
      </c>
      <c r="F12" s="14">
        <f>-F11*3%</f>
        <v>-25717.988859</v>
      </c>
      <c r="G12" s="14">
        <f>-G11*3%</f>
        <v>-26489.528525</v>
      </c>
      <c r="H12" s="14">
        <f>-H11*3%</f>
        <v>-27284.214381</v>
      </c>
      <c r="I12" s="14">
        <f>-I11*3%</f>
        <v>-28102.740812</v>
      </c>
      <c r="J12" s="14">
        <f>-J11*3%</f>
        <v>-28945.823037</v>
      </c>
      <c r="K12" s="14">
        <f>-K11*3%</f>
        <v>-29814.197728</v>
      </c>
    </row>
    <row r="13" spans="1:11" x14ac:dyDescent="0.25">
      <c r="A13" t="s">
        <v>164</v>
      </c>
      <c r="B13" s="14">
        <f>-Assumptions!$B$4*0.10</f>
        <v>-8400</v>
      </c>
      <c r="C13" s="14">
        <f>-Assumptions!$B$4*0.10</f>
        <v>-8400</v>
      </c>
      <c r="D13" s="14">
        <f>-Assumptions!$B$4*0.10</f>
        <v>-8400</v>
      </c>
      <c r="E13" s="14">
        <f>-Assumptions!$B$4*0.10</f>
        <v>-8400</v>
      </c>
      <c r="F13" s="14">
        <f>-Assumptions!$B$4*0.10</f>
        <v>-8400</v>
      </c>
      <c r="G13" s="14">
        <f>-Assumptions!$B$4*0.10</f>
        <v>-8400</v>
      </c>
      <c r="H13" s="14">
        <f>-Assumptions!$B$4*0.10</f>
        <v>-8400</v>
      </c>
      <c r="I13" s="14">
        <f>-Assumptions!$B$4*0.10</f>
        <v>-8400</v>
      </c>
      <c r="J13" s="14">
        <f>-Assumptions!$B$4*0.10</f>
        <v>-8400</v>
      </c>
      <c r="K13" s="14">
        <f>-Assumptions!$B$4*0.10</f>
        <v>-8400</v>
      </c>
    </row>
    <row r="14" spans="1:11" x14ac:dyDescent="0.25">
      <c r="A14" s="5" t="s">
        <v>142</v>
      </c>
      <c r="B14" s="43">
        <f>SUM(B11:B13)</f>
        <v>-8400</v>
      </c>
      <c r="C14" s="43">
        <f>SUM(C11:C13)</f>
        <v>482557.74</v>
      </c>
      <c r="D14" s="43">
        <f>SUM(D11:D13)</f>
        <v>775414.03191</v>
      </c>
      <c r="E14" s="43">
        <f>SUM(E11:E13)</f>
        <v>798928.45287</v>
      </c>
      <c r="F14" s="43">
        <f>SUM(F11:F13)</f>
        <v>823148.30645</v>
      </c>
      <c r="G14" s="43">
        <f>SUM(G11:G13)</f>
        <v>848094.75565</v>
      </c>
      <c r="H14" s="43">
        <f>SUM(H11:H13)</f>
        <v>873789.59832</v>
      </c>
      <c r="I14" s="43">
        <f>SUM(I11:I13)</f>
        <v>900255.28627</v>
      </c>
      <c r="J14" s="43">
        <f>SUM(J11:J13)</f>
        <v>927514.94485</v>
      </c>
      <c r="K14" s="43">
        <f>SUM(K11:K13)</f>
        <v>955592.3932</v>
      </c>
    </row>
    <row r="15" spans="1:11" x14ac:dyDescent="0.25"/>
    <row r="16" spans="1:11" x14ac:dyDescent="0.25">
      <c r="A16" s="8" t="s">
        <v>165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t="s">
        <v>166</v>
      </c>
      <c r="B17" s="14">
        <f>'Debt Sizing'!$B$20</f>
        <v>9529390</v>
      </c>
      <c r="C17" s="14">
        <f>'Debt Sizing'!$B$20</f>
        <v>9529390</v>
      </c>
      <c r="D17" s="14">
        <f>'Debt Sizing'!$B$20</f>
        <v>9529390</v>
      </c>
      <c r="E17" s="14">
        <f>'Debt Sizing'!$B$20</f>
        <v>9529390</v>
      </c>
      <c r="F17" s="14">
        <f>'Debt Sizing'!$B$20</f>
        <v>9529390</v>
      </c>
      <c r="G17" s="14">
        <f>'Debt Sizing'!$B$20</f>
        <v>9529390</v>
      </c>
      <c r="H17" s="14">
        <f>'Debt Sizing'!$B$20</f>
        <v>9529390</v>
      </c>
      <c r="I17" s="14">
        <f>'Debt Sizing'!$B$20</f>
        <v>9529390</v>
      </c>
      <c r="J17" s="14">
        <f>'Debt Sizing'!$B$20</f>
        <v>9529390</v>
      </c>
      <c r="K17" s="14">
        <f>'Debt Sizing'!$B$20</f>
        <v>9529390</v>
      </c>
    </row>
    <row r="18" spans="1:11" x14ac:dyDescent="0.25">
      <c r="A18" t="s">
        <v>167</v>
      </c>
      <c r="B18" s="15">
        <f>SOFR!C$43</f>
        <v>0.076158333333</v>
      </c>
      <c r="C18" s="15">
        <f>SOFR!D$43</f>
        <v>0.07718</v>
      </c>
      <c r="D18" s="15">
        <f>SOFR!E$43</f>
        <v>0.0773</v>
      </c>
      <c r="E18" s="15">
        <f>SOFR!F$43</f>
        <v>0.0773</v>
      </c>
      <c r="F18" s="15">
        <f>SOFR!$F$43</f>
        <v>0.0773</v>
      </c>
      <c r="G18" s="15">
        <f>SOFR!$F$43</f>
        <v>0.0773</v>
      </c>
      <c r="H18" s="15">
        <f>SOFR!$F$43</f>
        <v>0.0773</v>
      </c>
      <c r="I18" s="15">
        <f>SOFR!$F$43</f>
        <v>0.0773</v>
      </c>
      <c r="J18" s="15">
        <f>SOFR!$F$43</f>
        <v>0.0773</v>
      </c>
      <c r="K18" s="15">
        <f>SOFR!$F$43</f>
        <v>0.0773</v>
      </c>
    </row>
    <row r="19" spans="1:11" x14ac:dyDescent="0.25">
      <c r="A19" t="s">
        <v>145</v>
      </c>
      <c r="B19" s="14">
        <f>-B17*B18</f>
        <v>-725742.46008</v>
      </c>
      <c r="C19" s="14">
        <f>-C17*C18</f>
        <v>-735478.3202</v>
      </c>
      <c r="D19" s="14">
        <f>-D17*D18</f>
        <v>-736621.847</v>
      </c>
      <c r="E19" s="14">
        <f>-E17*E18</f>
        <v>-736621.847</v>
      </c>
      <c r="F19" s="14">
        <f>-F17*F18</f>
        <v>-736621.847</v>
      </c>
      <c r="G19" s="14">
        <f>-G17*G18</f>
        <v>-736621.847</v>
      </c>
      <c r="H19" s="14">
        <f>-H17*H18</f>
        <v>-736621.847</v>
      </c>
      <c r="I19" s="14">
        <f>-I17*I18</f>
        <v>-736621.847</v>
      </c>
      <c r="J19" s="14">
        <f>-J17*J18</f>
        <v>-736621.847</v>
      </c>
      <c r="K19" s="14">
        <f>-K17*K18</f>
        <v>-736621.847</v>
      </c>
    </row>
    <row r="20" spans="1:11" x14ac:dyDescent="0.25">
      <c r="A20" s="6" t="s">
        <v>146</v>
      </c>
      <c r="B20" s="45">
        <f>B14/-B19</f>
        <v>-0.011574353799</v>
      </c>
      <c r="C20" s="45">
        <f>C14/-C19</f>
        <v>0.65611415965</v>
      </c>
      <c r="D20" s="45">
        <f>D14/-D19</f>
        <v>1.0526622786</v>
      </c>
      <c r="E20" s="45">
        <f>E14/-E19</f>
        <v>1.0845842492</v>
      </c>
      <c r="F20" s="45">
        <f>F14/-F19</f>
        <v>1.1174638789</v>
      </c>
      <c r="G20" s="45">
        <f>G14/-G19</f>
        <v>1.1513298976</v>
      </c>
      <c r="H20" s="45">
        <f>H14/-H19</f>
        <v>1.1862118967</v>
      </c>
      <c r="I20" s="45">
        <f>I14/-I19</f>
        <v>1.2221403559</v>
      </c>
      <c r="J20" s="45">
        <f>J14/-J19</f>
        <v>1.2591466689</v>
      </c>
      <c r="K20" s="45">
        <f>K14/-K19</f>
        <v>1.2972631712</v>
      </c>
    </row>
    <row r="21" spans="1:11" x14ac:dyDescent="0.25">
      <c r="A21" s="6" t="s">
        <v>147</v>
      </c>
      <c r="B21" s="46">
        <f>B14/B17</f>
        <v>-0.00088148349475</v>
      </c>
      <c r="C21" s="46">
        <f>C14/C17</f>
        <v>0.050638890842</v>
      </c>
      <c r="D21" s="46">
        <f>D14/D17</f>
        <v>0.081370794134</v>
      </c>
      <c r="E21" s="46">
        <f>E14/E17</f>
        <v>0.083838362463</v>
      </c>
      <c r="F21" s="46">
        <f>F14/F17</f>
        <v>0.086379957841</v>
      </c>
      <c r="G21" s="46">
        <f>G14/G17</f>
        <v>0.088997801081</v>
      </c>
      <c r="H21" s="46">
        <f>H14/H17</f>
        <v>0.091694179619</v>
      </c>
      <c r="I21" s="46">
        <f>I14/I17</f>
        <v>0.094471449512</v>
      </c>
      <c r="J21" s="46">
        <f>J14/J17</f>
        <v>0.097332037502</v>
      </c>
      <c r="K21" s="46">
        <f>K14/K17</f>
        <v>0.10027844313</v>
      </c>
    </row>
    <row r="22" spans="1:11" x14ac:dyDescent="0.25"/>
    <row r="23" spans="1:11" x14ac:dyDescent="0.25">
      <c r="A23" s="8" t="s">
        <v>168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t="s">
        <v>169</v>
      </c>
      <c r="B24" s="14">
        <f>D14</f>
        <v>775414.03191</v>
      </c>
    </row>
    <row r="25" spans="1:11" x14ac:dyDescent="0.25">
      <c r="A25" t="s">
        <v>170</v>
      </c>
      <c r="B25" s="15">
        <f>Assumptions!B32</f>
        <v>0.0625</v>
      </c>
    </row>
    <row r="26" spans="1:11" x14ac:dyDescent="0.25">
      <c r="A26" s="6" t="s">
        <v>171</v>
      </c>
      <c r="B26" s="12">
        <f>D14/B25</f>
        <v>12406624.511</v>
      </c>
    </row>
    <row r="27" spans="1:11" x14ac:dyDescent="0.25">
      <c r="A27" t="s">
        <v>172</v>
      </c>
      <c r="B27" s="13">
        <f>'Debt Sizing'!B20/B26</f>
        <v>0.76808885381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D32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2" customWidth="1"/>
    <col min="2" max="3" width="14" customWidth="1"/>
    <col min="4" max="4" width="12.5" customWidth="1"/>
  </cols>
  <sheetData>
    <row r="1" spans="1:4" x14ac:dyDescent="0.25">
      <c r="A1" s="1" t="s">
        <v>173</v>
      </c>
    </row>
    <row r="2" spans="1:4" x14ac:dyDescent="0.25">
      <c r="A2" s="3" t="s">
        <v>2</v>
      </c>
    </row>
    <row r="3" spans="1:4" x14ac:dyDescent="0.25">
      <c r="A3" s="8" t="s">
        <v>174</v>
      </c>
      <c r="B3" s="9"/>
      <c r="C3" s="9"/>
      <c r="D3" s="9"/>
    </row>
    <row r="4" spans="1:4" x14ac:dyDescent="0.25">
      <c r="A4" t="s">
        <v>54</v>
      </c>
      <c r="B4" s="14">
        <f>Assumptions!B12</f>
        <v>10800000</v>
      </c>
    </row>
    <row r="5" spans="1:4" x14ac:dyDescent="0.25">
      <c r="A5" t="s">
        <v>175</v>
      </c>
      <c r="B5" s="14">
        <f>Assumptions!B20</f>
        <v>2900000</v>
      </c>
    </row>
    <row r="6" spans="1:4" x14ac:dyDescent="0.25">
      <c r="A6" t="s">
        <v>176</v>
      </c>
      <c r="B6" s="14">
        <f>Assumptions!B17</f>
        <v>960600</v>
      </c>
    </row>
    <row r="7" spans="1:4" x14ac:dyDescent="0.25"/>
    <row r="8" spans="1:4" x14ac:dyDescent="0.25">
      <c r="A8" s="6" t="s">
        <v>177</v>
      </c>
      <c r="B8" s="30">
        <f>SUM(B4:B6)</f>
        <v>14660600</v>
      </c>
    </row>
    <row r="9" spans="1:4" x14ac:dyDescent="0.25">
      <c r="A9" t="s">
        <v>178</v>
      </c>
      <c r="B9" s="14">
        <f>'CF - Base'!D31</f>
        <v>1357838.5507</v>
      </c>
    </row>
    <row r="10" spans="1:4" x14ac:dyDescent="0.25">
      <c r="A10" t="s">
        <v>179</v>
      </c>
      <c r="B10" s="14">
        <f>'CF - Base'!B43</f>
        <v>20116126.676</v>
      </c>
    </row>
    <row r="11" spans="1:4" x14ac:dyDescent="0.25">
      <c r="A11" t="s">
        <v>180</v>
      </c>
      <c r="B11" s="29">
        <v>12000000</v>
      </c>
    </row>
    <row r="12" spans="1:4" x14ac:dyDescent="0.25">
      <c r="A12" t="s">
        <v>181</v>
      </c>
      <c r="B12" s="14">
        <f>'CF - Bear'!B26</f>
        <v>12406624.511</v>
      </c>
    </row>
    <row r="13" spans="1:4" x14ac:dyDescent="0.25">
      <c r="A13" s="8" t="s">
        <v>182</v>
      </c>
      <c r="B13" s="9"/>
      <c r="C13" s="9"/>
      <c r="D13" s="9"/>
    </row>
    <row r="14" spans="1:4" x14ac:dyDescent="0.25">
      <c r="A14" t="s">
        <v>183</v>
      </c>
      <c r="B14" s="47">
        <f>Assumptions!B42</f>
        <v>0.65</v>
      </c>
      <c r="C14" s="14">
        <f>Assumptions!B42*B8</f>
        <v>9529390</v>
      </c>
    </row>
    <row r="15" spans="1:4" x14ac:dyDescent="0.25">
      <c r="A15" t="s">
        <v>184</v>
      </c>
      <c r="B15" s="14">
        <f>Assumptions!B43*Assumptions!B12</f>
        <v>6480000</v>
      </c>
    </row>
    <row r="16" spans="1:4" x14ac:dyDescent="0.25">
      <c r="A16" t="s">
        <v>185</v>
      </c>
      <c r="B16" s="14">
        <f>B20-B15</f>
        <v>3049390</v>
      </c>
    </row>
    <row r="17" spans="1:4" x14ac:dyDescent="0.25">
      <c r="A17" t="s">
        <v>186</v>
      </c>
      <c r="B17" s="33">
        <f>B20/Assumptions!B4</f>
        <v>113.44511905</v>
      </c>
    </row>
    <row r="18" spans="1:4" x14ac:dyDescent="0.25"/>
    <row r="19" spans="1:4" x14ac:dyDescent="0.25"/>
    <row r="20" spans="1:4" x14ac:dyDescent="0.25">
      <c r="A20" s="5" t="s">
        <v>187</v>
      </c>
      <c r="B20" s="48">
        <f>C14</f>
        <v>9529390</v>
      </c>
      <c r="C20" s="7"/>
      <c r="D20" s="7"/>
    </row>
    <row r="21" spans="1:4" x14ac:dyDescent="0.25">
      <c r="A21" t="s">
        <v>16</v>
      </c>
      <c r="B21" s="13">
        <f>B20/B8</f>
        <v>0.65</v>
      </c>
    </row>
    <row r="22" spans="1:4" x14ac:dyDescent="0.25">
      <c r="A22" t="s">
        <v>188</v>
      </c>
      <c r="B22" s="13">
        <f>B20/B10</f>
        <v>0.47371892976</v>
      </c>
    </row>
    <row r="23" spans="1:4" x14ac:dyDescent="0.25">
      <c r="A23" t="s">
        <v>189</v>
      </c>
      <c r="B23" s="13">
        <f>B20/B11</f>
        <v>0.79411583333</v>
      </c>
    </row>
    <row r="24" spans="1:4" x14ac:dyDescent="0.25">
      <c r="A24" t="s">
        <v>190</v>
      </c>
      <c r="B24" s="13">
        <f>B20/B12</f>
        <v>0.76808885381</v>
      </c>
    </row>
    <row r="25" spans="1:4" x14ac:dyDescent="0.25"/>
    <row r="26" spans="1:4" x14ac:dyDescent="0.25">
      <c r="A26" s="8" t="s">
        <v>191</v>
      </c>
      <c r="B26" s="9"/>
      <c r="C26" s="9"/>
      <c r="D26" s="9"/>
    </row>
    <row r="27" spans="1:4" x14ac:dyDescent="0.25">
      <c r="A27" s="17" t="s">
        <v>192</v>
      </c>
      <c r="B27" s="18" t="s">
        <v>193</v>
      </c>
      <c r="C27" s="18" t="s">
        <v>194</v>
      </c>
      <c r="D27" s="18" t="s">
        <v>195</v>
      </c>
    </row>
    <row r="28" spans="1:4" x14ac:dyDescent="0.25">
      <c r="A28" s="19" t="s">
        <v>196</v>
      </c>
      <c r="B28" s="49">
        <f>Assumptions!B45</f>
        <v>1.25</v>
      </c>
      <c r="C28" s="49">
        <f>'CF - Base'!D36</f>
        <v>1.8433319025</v>
      </c>
      <c r="D28" s="18" t="str">
        <f>IF(C28&gt;=B28,"PASS","FAIL")</f>
        <v>PASS</v>
      </c>
    </row>
    <row r="29" spans="1:4" x14ac:dyDescent="0.25">
      <c r="A29" s="19" t="s">
        <v>197</v>
      </c>
      <c r="B29" s="21">
        <f>Assumptions!B46</f>
        <v>0.09</v>
      </c>
      <c r="C29" s="21">
        <f>'CF - Base'!D37</f>
        <v>0.14248955606</v>
      </c>
      <c r="D29" s="18" t="str">
        <f>IF(C29&gt;=B29,"PASS","FAIL")</f>
        <v>PASS</v>
      </c>
    </row>
    <row r="30" spans="1:4" x14ac:dyDescent="0.25">
      <c r="A30" s="19" t="s">
        <v>198</v>
      </c>
      <c r="B30" s="49">
        <f>Assumptions!B47</f>
        <v>1</v>
      </c>
      <c r="C30" s="49">
        <f>'CF - Bear'!D20</f>
        <v>1.0526622786</v>
      </c>
      <c r="D30" s="18" t="str">
        <f>IF(C30&gt;=B30,"PASS","FAIL")</f>
        <v>PASS</v>
      </c>
    </row>
    <row r="31" spans="1:4" x14ac:dyDescent="0.25">
      <c r="A31" s="19" t="s">
        <v>199</v>
      </c>
      <c r="B31" s="21">
        <f>Assumptions!B44</f>
        <v>0.8</v>
      </c>
      <c r="C31" s="21">
        <f>B23</f>
        <v>0.79411583333</v>
      </c>
      <c r="D31" s="18" t="str">
        <f>IF(C31&lt;=B31,"PASS","FAIL")</f>
        <v>PASS</v>
      </c>
    </row>
    <row r="32" spans="1:4" x14ac:dyDescent="0.25">
      <c r="A32" s="19" t="s">
        <v>200</v>
      </c>
      <c r="B32" s="21">
        <f>Assumptions!B42</f>
        <v>0.65</v>
      </c>
      <c r="C32" s="21">
        <f>B21</f>
        <v>0.65</v>
      </c>
      <c r="D32" s="18" t="str">
        <f>IF(ROUND(C32,4)&lt;=ROUND(B32,4),"PASS","FAIL")</f>
        <v>PASS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D28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8" customWidth="1"/>
    <col min="2" max="2" width="14" customWidth="1"/>
    <col min="3" max="3" width="34" customWidth="1"/>
    <col min="4" max="4" width="12.5" customWidth="1"/>
  </cols>
  <sheetData>
    <row r="1" spans="1:4" x14ac:dyDescent="0.25">
      <c r="A1" s="1" t="s">
        <v>201</v>
      </c>
    </row>
    <row r="2" spans="1:4" x14ac:dyDescent="0.25">
      <c r="A2" s="3" t="s">
        <v>202</v>
      </c>
    </row>
    <row r="3" spans="1:4" x14ac:dyDescent="0.25"/>
    <row r="4" spans="1:4" x14ac:dyDescent="0.25">
      <c r="A4" s="8" t="s">
        <v>203</v>
      </c>
      <c r="B4" s="9"/>
      <c r="C4" s="9"/>
      <c r="D4" s="9"/>
    </row>
    <row r="5" spans="1:4" x14ac:dyDescent="0.25">
      <c r="A5" t="s">
        <v>86</v>
      </c>
      <c r="B5" s="14">
        <f>Assumptions!B55</f>
        <v>500000</v>
      </c>
    </row>
    <row r="6" spans="1:4" x14ac:dyDescent="0.25">
      <c r="A6" t="s">
        <v>87</v>
      </c>
      <c r="B6" s="14">
        <f>Assumptions!B56</f>
        <v>150000</v>
      </c>
    </row>
    <row r="7" spans="1:4" x14ac:dyDescent="0.25">
      <c r="A7" s="6" t="s">
        <v>204</v>
      </c>
      <c r="B7" s="30">
        <f>B5+B6</f>
        <v>650000</v>
      </c>
    </row>
    <row r="8" spans="1:4" x14ac:dyDescent="0.25"/>
    <row r="9" spans="1:4" x14ac:dyDescent="0.25">
      <c r="A9" s="8" t="s">
        <v>205</v>
      </c>
      <c r="B9" s="9"/>
      <c r="C9" s="9"/>
      <c r="D9" s="9"/>
    </row>
    <row r="10" spans="1:4" x14ac:dyDescent="0.25">
      <c r="A10" t="s">
        <v>206</v>
      </c>
      <c r="B10" s="14">
        <f>'Debt Sizing'!B15</f>
        <v>6480000</v>
      </c>
    </row>
    <row r="11" spans="1:4" x14ac:dyDescent="0.25">
      <c r="A11" t="s">
        <v>207</v>
      </c>
      <c r="B11" s="14">
        <f>'Debt Sizing'!B20</f>
        <v>9529390</v>
      </c>
    </row>
    <row r="12" spans="1:4" x14ac:dyDescent="0.25">
      <c r="A12" t="s">
        <v>208</v>
      </c>
      <c r="B12" s="14">
        <f>(B10+B11)/2</f>
        <v>8004695</v>
      </c>
    </row>
    <row r="13" spans="1:4" x14ac:dyDescent="0.25">
      <c r="A13" t="s">
        <v>63</v>
      </c>
      <c r="B13" s="50">
        <f>Assumptions!B21</f>
        <v>7</v>
      </c>
    </row>
    <row r="14" spans="1:4" x14ac:dyDescent="0.25">
      <c r="A14" t="s">
        <v>209</v>
      </c>
      <c r="B14" s="15">
        <f>SOFR!C43</f>
        <v>0.076158333333</v>
      </c>
    </row>
    <row r="15" spans="1:4" x14ac:dyDescent="0.25">
      <c r="A15" t="s">
        <v>210</v>
      </c>
      <c r="B15" s="14">
        <f>B12*B14*B13/12</f>
        <v>355614.13419</v>
      </c>
    </row>
    <row r="16" spans="1:4" x14ac:dyDescent="0.25">
      <c r="A16" t="s">
        <v>211</v>
      </c>
      <c r="B16" s="14">
        <f>B11*B14*(12-B13)/12</f>
        <v>302392.6917</v>
      </c>
    </row>
    <row r="17" spans="1:4" x14ac:dyDescent="0.25">
      <c r="A17" s="6" t="s">
        <v>212</v>
      </c>
      <c r="B17" s="30">
        <f>B15+B16</f>
        <v>658006.82589</v>
      </c>
    </row>
    <row r="18" spans="1:4" x14ac:dyDescent="0.25"/>
    <row r="19" spans="1:4" x14ac:dyDescent="0.25">
      <c r="A19" s="8" t="s">
        <v>213</v>
      </c>
      <c r="B19" s="9"/>
      <c r="C19" s="9"/>
      <c r="D19" s="9"/>
    </row>
    <row r="20" spans="1:4" x14ac:dyDescent="0.25">
      <c r="A20" t="s">
        <v>214</v>
      </c>
      <c r="B20" s="14">
        <f>'CF - Base'!B31</f>
        <v>365110</v>
      </c>
    </row>
    <row r="21" spans="1:4" x14ac:dyDescent="0.25">
      <c r="A21" t="s">
        <v>215</v>
      </c>
      <c r="B21" s="14">
        <f>'CF - Base'!B34</f>
        <v>-725742.46008</v>
      </c>
    </row>
    <row r="22" spans="1:4" x14ac:dyDescent="0.25">
      <c r="A22" t="s">
        <v>216</v>
      </c>
      <c r="B22" s="14">
        <f>B20-B17</f>
        <v>-292896.82589</v>
      </c>
    </row>
    <row r="23" spans="1:4" x14ac:dyDescent="0.25"/>
    <row r="24" spans="1:4" x14ac:dyDescent="0.25">
      <c r="A24" s="8" t="s">
        <v>217</v>
      </c>
      <c r="B24" s="9"/>
      <c r="C24" s="9"/>
      <c r="D24" s="9"/>
    </row>
    <row r="25" spans="1:4" x14ac:dyDescent="0.25">
      <c r="A25" t="s">
        <v>218</v>
      </c>
      <c r="B25" s="14">
        <f>B17-B20</f>
        <v>292896.82589</v>
      </c>
    </row>
    <row r="26" spans="1:4" x14ac:dyDescent="0.25">
      <c r="A26" t="s">
        <v>219</v>
      </c>
      <c r="B26" s="14">
        <f>'CF - Base'!C31+'CF - Base'!C34</f>
        <v>572273.2798</v>
      </c>
    </row>
    <row r="27" spans="1:4" x14ac:dyDescent="0.25">
      <c r="A27" s="6" t="s">
        <v>220</v>
      </c>
      <c r="B27" s="30">
        <f>B7-B25</f>
        <v>357103.17411</v>
      </c>
    </row>
    <row r="28" spans="1:4" x14ac:dyDescent="0.25">
      <c r="A28" s="6" t="s">
        <v>221</v>
      </c>
      <c r="B28" s="6" t="str">
        <f>IF(B27&gt;=0,"ADEQUATE","SHORTFALL")</f>
        <v>ADEQUATE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workbookViewId="0">
      <pane xSplit="1" ySplit="2" topLeftCell="B3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3" width="12.5" customWidth="1"/>
    <col min="4" max="5" width="12" customWidth="1"/>
    <col min="6" max="6" width="12.5" customWidth="1"/>
    <col min="7" max="7" width="22" customWidth="1"/>
  </cols>
  <sheetData>
    <row r="1" spans="1:7" x14ac:dyDescent="0.25">
      <c r="A1" s="1" t="s">
        <v>222</v>
      </c>
    </row>
    <row r="2" spans="1:7" x14ac:dyDescent="0.25">
      <c r="A2" s="3" t="s">
        <v>223</v>
      </c>
    </row>
    <row r="3" spans="1:7" x14ac:dyDescent="0.25"/>
    <row r="4" spans="1:7" x14ac:dyDescent="0.25">
      <c r="A4" s="8" t="s">
        <v>224</v>
      </c>
      <c r="B4" s="9"/>
      <c r="C4" s="9"/>
      <c r="D4" s="9"/>
      <c r="E4" s="9"/>
      <c r="F4" s="7"/>
      <c r="G4" s="7"/>
    </row>
    <row r="5" spans="1:7" x14ac:dyDescent="0.25">
      <c r="A5" s="51" t="s">
        <v>225</v>
      </c>
      <c r="B5" s="18" t="s">
        <v>226</v>
      </c>
      <c r="C5" s="18" t="s">
        <v>227</v>
      </c>
      <c r="D5" s="18" t="s">
        <v>228</v>
      </c>
      <c r="E5" s="18" t="s">
        <v>229</v>
      </c>
    </row>
    <row r="6" spans="1:7" x14ac:dyDescent="0.25">
      <c r="A6" s="17" t="s">
        <v>230</v>
      </c>
      <c r="B6" s="52">
        <v>3.1</v>
      </c>
      <c r="C6" s="53">
        <v>6200</v>
      </c>
      <c r="D6" s="54">
        <v>29.5</v>
      </c>
      <c r="E6" s="20">
        <f>C6*D6</f>
        <v>182900</v>
      </c>
    </row>
    <row r="7" spans="1:7" x14ac:dyDescent="0.25">
      <c r="A7" s="17" t="s">
        <v>231</v>
      </c>
      <c r="B7" s="52">
        <v>2.4</v>
      </c>
      <c r="C7" s="53">
        <v>4800</v>
      </c>
      <c r="D7" s="54">
        <v>31</v>
      </c>
      <c r="E7" s="20">
        <f>C7*D7</f>
        <v>148800</v>
      </c>
    </row>
    <row r="8" spans="1:7" x14ac:dyDescent="0.25">
      <c r="A8" s="17" t="s">
        <v>232</v>
      </c>
      <c r="B8" s="52">
        <v>5.2</v>
      </c>
      <c r="C8" s="53">
        <v>8500</v>
      </c>
      <c r="D8" s="54">
        <v>26.75</v>
      </c>
      <c r="E8" s="20">
        <f>C8*D8</f>
        <v>227375</v>
      </c>
    </row>
    <row r="9" spans="1:7" x14ac:dyDescent="0.25">
      <c r="A9" s="17" t="s">
        <v>233</v>
      </c>
      <c r="B9" s="52">
        <v>6</v>
      </c>
      <c r="C9" s="53">
        <v>12000</v>
      </c>
      <c r="D9" s="54">
        <v>25.5</v>
      </c>
      <c r="E9" s="20">
        <f>C9*D9</f>
        <v>306000</v>
      </c>
    </row>
    <row r="10" spans="1:7" x14ac:dyDescent="0.25">
      <c r="A10" s="17" t="s">
        <v>234</v>
      </c>
      <c r="B10" s="52">
        <v>2.9</v>
      </c>
      <c r="C10" s="53">
        <v>3600</v>
      </c>
      <c r="D10" s="54">
        <v>33</v>
      </c>
      <c r="E10" s="20">
        <f>C10*D10</f>
        <v>118800</v>
      </c>
    </row>
    <row r="11" spans="1:7" x14ac:dyDescent="0.25">
      <c r="A11" s="17" t="s">
        <v>235</v>
      </c>
      <c r="B11" s="52">
        <v>4.4</v>
      </c>
      <c r="C11" s="53">
        <v>9400</v>
      </c>
      <c r="D11" s="54">
        <v>27.25</v>
      </c>
      <c r="E11" s="20">
        <f>C11*D11</f>
        <v>256150</v>
      </c>
    </row>
    <row r="12" spans="1:7" x14ac:dyDescent="0.25">
      <c r="A12" s="17" t="s">
        <v>236</v>
      </c>
      <c r="B12" s="52">
        <v>8.7</v>
      </c>
      <c r="C12" s="53">
        <v>7200</v>
      </c>
      <c r="D12" s="54">
        <v>28</v>
      </c>
      <c r="E12" s="20">
        <f>C12*D12</f>
        <v>201600</v>
      </c>
    </row>
    <row r="13" spans="1:7" x14ac:dyDescent="0.25">
      <c r="A13" s="17" t="s">
        <v>237</v>
      </c>
      <c r="B13" s="52">
        <v>5.5</v>
      </c>
      <c r="C13" s="53">
        <v>5400</v>
      </c>
      <c r="D13" s="54">
        <v>30.25</v>
      </c>
      <c r="E13" s="20">
        <f>C13*D13</f>
        <v>163350</v>
      </c>
    </row>
    <row r="14" spans="1:7" x14ac:dyDescent="0.25">
      <c r="A14" s="17" t="s">
        <v>238</v>
      </c>
      <c r="B14" s="19" t="s">
        <v>239</v>
      </c>
      <c r="C14" s="55">
        <f>SUM(C6:C13)</f>
        <v>57100</v>
      </c>
      <c r="D14" s="25">
        <f>SUMPRODUCT(C6:C13,D6:D13)/SUM(C6:C13)</f>
        <v>28.108143608</v>
      </c>
      <c r="E14" s="23">
        <f>SUM(E6:E13)</f>
        <v>1604975</v>
      </c>
    </row>
    <row r="15" spans="1:7" x14ac:dyDescent="0.25"/>
    <row r="16" spans="1:7" x14ac:dyDescent="0.25">
      <c r="A16" s="8" t="s">
        <v>240</v>
      </c>
      <c r="B16" s="9"/>
      <c r="C16" s="9"/>
      <c r="D16" s="9"/>
      <c r="E16" s="9"/>
      <c r="F16" s="9"/>
      <c r="G16" s="9"/>
    </row>
    <row r="17" spans="1:7" x14ac:dyDescent="0.25">
      <c r="A17" s="51" t="s">
        <v>241</v>
      </c>
      <c r="B17" s="18" t="s">
        <v>242</v>
      </c>
      <c r="C17" s="18" t="s">
        <v>227</v>
      </c>
      <c r="D17" s="18" t="s">
        <v>243</v>
      </c>
      <c r="E17" s="18" t="s">
        <v>30</v>
      </c>
      <c r="F17" s="18" t="s">
        <v>244</v>
      </c>
      <c r="G17" s="18" t="s">
        <v>245</v>
      </c>
    </row>
    <row r="18" spans="1:7" x14ac:dyDescent="0.25">
      <c r="A18" s="17" t="s">
        <v>246</v>
      </c>
      <c r="B18" s="56" t="s">
        <v>247</v>
      </c>
      <c r="C18" s="53">
        <v>92000</v>
      </c>
      <c r="D18" s="57">
        <v>13340000</v>
      </c>
      <c r="E18" s="22">
        <f>D18/C18</f>
        <v>145</v>
      </c>
      <c r="F18" s="58">
        <v>0.064</v>
      </c>
      <c r="G18" s="17" t="s">
        <v>248</v>
      </c>
    </row>
    <row r="19" spans="1:7" x14ac:dyDescent="0.25">
      <c r="A19" s="17" t="s">
        <v>249</v>
      </c>
      <c r="B19" s="56" t="s">
        <v>250</v>
      </c>
      <c r="C19" s="53">
        <v>71500</v>
      </c>
      <c r="D19" s="57">
        <v>9725000</v>
      </c>
      <c r="E19" s="22">
        <f>D19/C19</f>
        <v>136.01398601</v>
      </c>
      <c r="F19" s="58">
        <v>0.066</v>
      </c>
      <c r="G19" s="17" t="s">
        <v>248</v>
      </c>
    </row>
    <row r="20" spans="1:7" x14ac:dyDescent="0.25">
      <c r="A20" s="17" t="s">
        <v>251</v>
      </c>
      <c r="B20" s="56" t="s">
        <v>252</v>
      </c>
      <c r="C20" s="53">
        <v>64000</v>
      </c>
      <c r="D20" s="57">
        <v>15680000</v>
      </c>
      <c r="E20" s="22">
        <f>D20/C20</f>
        <v>245</v>
      </c>
      <c r="F20" s="58">
        <v>0.065</v>
      </c>
      <c r="G20" s="17" t="s">
        <v>253</v>
      </c>
    </row>
    <row r="21" spans="1:7" x14ac:dyDescent="0.25">
      <c r="A21" s="17" t="s">
        <v>254</v>
      </c>
      <c r="B21" s="56" t="s">
        <v>255</v>
      </c>
      <c r="C21" s="53">
        <v>58200</v>
      </c>
      <c r="D21" s="57">
        <v>14026200</v>
      </c>
      <c r="E21" s="22">
        <f>D21/C21</f>
        <v>241</v>
      </c>
      <c r="F21" s="58">
        <v>0.067</v>
      </c>
      <c r="G21" s="17" t="s">
        <v>253</v>
      </c>
    </row>
    <row r="22" spans="1:7" x14ac:dyDescent="0.25">
      <c r="A22" s="17" t="s">
        <v>256</v>
      </c>
      <c r="B22" s="56" t="s">
        <v>257</v>
      </c>
      <c r="C22" s="53">
        <v>47000</v>
      </c>
      <c r="D22" s="57">
        <v>12220000</v>
      </c>
      <c r="E22" s="22">
        <f>D22/C22</f>
        <v>260</v>
      </c>
      <c r="F22" s="58">
        <v>0.062</v>
      </c>
      <c r="G22" s="17" t="s">
        <v>253</v>
      </c>
    </row>
    <row r="23" spans="1:7" x14ac:dyDescent="0.25">
      <c r="A23" s="17" t="s">
        <v>258</v>
      </c>
      <c r="B23" s="56" t="s">
        <v>259</v>
      </c>
      <c r="C23" s="53">
        <v>88000</v>
      </c>
      <c r="D23" s="57">
        <v>12584000</v>
      </c>
      <c r="E23" s="22">
        <f>D23/C23</f>
        <v>143</v>
      </c>
      <c r="F23" s="58">
        <v>0.068</v>
      </c>
      <c r="G23" s="17" t="s">
        <v>248</v>
      </c>
    </row>
    <row r="24" spans="1:7" x14ac:dyDescent="0.25">
      <c r="A24" s="17" t="s">
        <v>260</v>
      </c>
      <c r="B24" s="19" t="s">
        <v>239</v>
      </c>
      <c r="C24" s="19" t="s">
        <v>239</v>
      </c>
      <c r="D24" s="19" t="s">
        <v>239</v>
      </c>
      <c r="E24" s="19" t="s">
        <v>239</v>
      </c>
      <c r="F24" s="59">
        <f>AVERAGE(F18:F23)</f>
        <v>0.065333333333</v>
      </c>
      <c r="G24" s="1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Loan Summary</vt:lpstr>
      <vt:lpstr>Assumptions</vt:lpstr>
      <vt:lpstr>Scenario Assumptions</vt:lpstr>
      <vt:lpstr>CF - Base</vt:lpstr>
      <vt:lpstr>CF - Bull</vt:lpstr>
      <vt:lpstr>CF - Bear</vt:lpstr>
      <vt:lpstr>Debt Sizing</vt:lpstr>
      <vt:lpstr>Reserves</vt:lpstr>
      <vt:lpstr>Comps</vt:lpstr>
      <vt:lpstr>Operating Comps</vt:lpstr>
      <vt:lpstr>SOFR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2026-07-22T08:30:06Z</dcterms:created>
  <dcterms:modified xsi:type="dcterms:W3CDTF">2026-07-22T08:30:06Z</dcterms:modified>
</cp:coreProperties>
</file>