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Tie-Out" state="visible" r:id="rId4"/>
    <sheet sheetId="2" name="Mismatches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<sst xmlns="http://schemas.openxmlformats.org/spreadsheetml/2006/main" count="176" uniqueCount="110">
  <si>
    <t>RENT ROLL AUDIT — TIE-OUT · HARBORLINE ANNEX · ROLL AS OF JUNE 30, 2026</t>
  </si>
  <si>
    <t>FICTIONAL SAMPLE · for demonstration — all figures invented</t>
  </si>
  <si>
    <t>Roll values: annex_rentroll.html #rr-row-1..12 (p.2) · lease values: extracts #rrlx-1..4 (pp.4–10) · in any conflict the lease controls (roll notes ¶5, p.3)</t>
  </si>
  <si>
    <t>UNIT-BY-UNIT TIE-OUT (EVERY UNIT ON THE ROLL)</t>
  </si>
  <si>
    <t>Row</t>
  </si>
  <si>
    <t>Suite</t>
  </si>
  <si>
    <t>Tenant</t>
  </si>
  <si>
    <t>RSF</t>
  </si>
  <si>
    <t>Roll $/SF</t>
  </si>
  <si>
    <t>Roll expiry</t>
  </si>
  <si>
    <t>Lease $/SF</t>
  </si>
  <si>
    <t>Lease expiry</t>
  </si>
  <si>
    <t>Δ $/SF</t>
  </si>
  <si>
    <t>Δ months</t>
  </si>
  <si>
    <t>Status</t>
  </si>
  <si>
    <t>Roll annual</t>
  </si>
  <si>
    <t>Lease cite</t>
  </si>
  <si>
    <t>#rr-row-1</t>
  </si>
  <si>
    <t>100</t>
  </si>
  <si>
    <t>Meridian Title of Texas LLC</t>
  </si>
  <si>
    <t>—</t>
  </si>
  <si>
    <t>NOT TESTED</t>
  </si>
  <si>
    <t>no extract in pack</t>
  </si>
  <si>
    <t>#rr-row-2</t>
  </si>
  <si>
    <t>110</t>
  </si>
  <si>
    <t>Riverbend Café</t>
  </si>
  <si>
    <t>#rrlx-4 §2.4 / §1.3 (p.10)</t>
  </si>
  <si>
    <t>#rr-row-3</t>
  </si>
  <si>
    <t>120</t>
  </si>
  <si>
    <t>Copper &amp; Pine Mercantile</t>
  </si>
  <si>
    <t>#rr-row-4</t>
  </si>
  <si>
    <t>200</t>
  </si>
  <si>
    <t>Delta Dental of Central Texas</t>
  </si>
  <si>
    <t>#rrlx-1 §2.4 / §1.3 (pp.4–5)</t>
  </si>
  <si>
    <t>#rr-row-5</t>
  </si>
  <si>
    <t>210</t>
  </si>
  <si>
    <t>Hargrove Insurance Group</t>
  </si>
  <si>
    <t>#rr-row-6</t>
  </si>
  <si>
    <t>300</t>
  </si>
  <si>
    <t>Tessellate Studio Architects</t>
  </si>
  <si>
    <t>#rr-row-7</t>
  </si>
  <si>
    <t>310</t>
  </si>
  <si>
    <t>Cobalt Ridge Analytics LLC</t>
  </si>
  <si>
    <t>#rrlx-3 §2.4 / §1.3 (pp.8–9)</t>
  </si>
  <si>
    <t>#rr-row-8</t>
  </si>
  <si>
    <t>320</t>
  </si>
  <si>
    <t>— VACANT —</t>
  </si>
  <si>
    <t>VACANT</t>
  </si>
  <si>
    <t>#rr-row-9</t>
  </si>
  <si>
    <t>400</t>
  </si>
  <si>
    <t>Beacon Law Group LLP</t>
  </si>
  <si>
    <t>#rrlx-2 §2.4 / §1.3 (pp.6–7)</t>
  </si>
  <si>
    <t>#rr-row-10</t>
  </si>
  <si>
    <t>410</t>
  </si>
  <si>
    <t>Summit Physical Therapy PLLC</t>
  </si>
  <si>
    <t>#rr-row-11</t>
  </si>
  <si>
    <t>500</t>
  </si>
  <si>
    <t>Lantern Financial Advisors LP</t>
  </si>
  <si>
    <t>#rr-row-12</t>
  </si>
  <si>
    <t>510</t>
  </si>
  <si>
    <t>Total — 12 suites</t>
  </si>
  <si>
    <t>roll p.2 total: $1,365,331.75</t>
  </si>
  <si>
    <t>Occupied SF (10 suites)</t>
  </si>
  <si>
    <t>Occupancy</t>
  </si>
  <si>
    <t>Audit scope: four extracts were provided (#rrlx-1..4); the remaining six occupied suites are carried as NOT TESTED. Vacant suites have no lease to tie.</t>
  </si>
  <si>
    <t>RENT ROLL AUDIT — MISMATCHES &amp; DOLLAR IMPACT</t>
  </si>
  <si>
    <t>Two catches; both cites shown. In any conflict the lease controls (roll notes ¶5, p.3).</t>
  </si>
  <si>
    <t>CATCH 1 — BEACON LAW GROUP LLP (SUITE 400): BASE-RENT RATE</t>
  </si>
  <si>
    <t>Roll rate ($/SF/yr)</t>
  </si>
  <si>
    <t>annex_rentroll.html #rr-row-9 (p.2): $29.75 / $11,731.42 monthly</t>
  </si>
  <si>
    <t>Lease rate ($/SF/yr)</t>
  </si>
  <si>
    <t>#rrlx-2 §2.4 (p.6): "$28.75 per rentable square foot per annum" — the 2025 draft amendment at $29.75 was never executed (p.7)</t>
  </si>
  <si>
    <t>Rentable square feet</t>
  </si>
  <si>
    <t>#rr-row-9 and #rrlx-2 §1.1 agree</t>
  </si>
  <si>
    <t>Rate overstatement ($/SF)</t>
  </si>
  <si>
    <t>Annualized variance (Δ rate × RSF)</t>
  </si>
  <si>
    <t>Monthly variance</t>
  </si>
  <si>
    <t>Roll overstates in-place base rent; correct the roll and any underwriting derived from it.</t>
  </si>
  <si>
    <t>CATCH 2 — COBALT RIDGE ANALYTICS LLC (SUITE 310): LEASE EXPIRY</t>
  </si>
  <si>
    <t>annex_rentroll.html #rr-row-7 (p.2): Mar 31, 2027</t>
  </si>
  <si>
    <t>#rrlx-3 §1.3 (p.8): "shall expire ... on March 31, 2026"; §3.1 option NOT exercised (notice deadline was Jun 30, 2025)</t>
  </si>
  <si>
    <t>Term overstated (months)</t>
  </si>
  <si>
    <t>Base rent ($/SF/yr, final lease year)</t>
  </si>
  <si>
    <t>#rrlx-3 §2.4 (p.8) — roll rate agrees</t>
  </si>
  <si>
    <t>Annual base rent at issue (RSF × rate)</t>
  </si>
  <si>
    <t>Annualized variance — rent scheduled beyond actual term</t>
  </si>
  <si>
    <t>Lease expired before the roll's as-of date: tenancy is a §16.2 holdover (150% of last base rent, 30-day terminable). Obtain estoppel; document renewal or re-lease.</t>
  </si>
  <si>
    <t>COMBINED IMPACT</t>
  </si>
  <si>
    <t>Combined annualized variance</t>
  </si>
  <si>
    <t>Corrected roll annual base rent (roll total − rate variance)</t>
  </si>
  <si>
    <t>Of which at risk to holdover / rollover (Suite 310)</t>
  </si>
  <si>
    <t>RENT ROLL AUDIT — SUMMARY · HARBORLINE ANNEX</t>
  </si>
  <si>
    <t>Roll as of June 30, 2026 · source pack: annex_rentroll.html · audit date July 2026</t>
  </si>
  <si>
    <t>SCOPE &amp; RESULTS</t>
  </si>
  <si>
    <t>Units on the roll</t>
  </si>
  <si>
    <t>Occupied suites</t>
  </si>
  <si>
    <t>roll p.2 — occupied subtotal row</t>
  </si>
  <si>
    <t>Lease extracts audited</t>
  </si>
  <si>
    <t>#rrlx-1..4 (pp.4–10)</t>
  </si>
  <si>
    <t>MATCH</t>
  </si>
  <si>
    <t>MISMATCH</t>
  </si>
  <si>
    <t>NOT TESTED (no extract)</t>
  </si>
  <si>
    <t>PORTFOLIO FIGURES</t>
  </si>
  <si>
    <t>Total RSF</t>
  </si>
  <si>
    <t>Occupied RSF</t>
  </si>
  <si>
    <t>Roll annual base rent (as certified)</t>
  </si>
  <si>
    <t>Corrected annual base rent (after Catch 1)</t>
  </si>
  <si>
    <t>Annual rent at holdover risk (Catch 2)</t>
  </si>
  <si>
    <t>VERDICT</t>
  </si>
  <si>
    <t>Two of four audited tenancies fail the tie-out: Beacon Law's roll rate is $1.00/SF high ($4,732.00/yr) against lease §2.4, and Suite 310 is shown one year past its lease §1.3 expiry ($106,495.00/yr scheduled beyond term; tenant in holdover). Rates, expiries, and RSF tie for Delta Dental and Riverbend Café. Correct the roll, obtain a Suite 310 estoppel, and re-certify before reliance.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</si>
</sst>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$#,##0.00"/>
    <numFmt numFmtId="165" formatCode="mm/dd/yyyy"/>
    <numFmt numFmtId="166" formatCode="$#,##0.00;($#,##0.00)"/>
    <numFmt numFmtId="167" formatCode="0.00;-0.00"/>
  </numFmts>
  <fonts count="19" x14ac:knownFonts="1">
    <font>
      <color theme="1"/>
      <family val="2"/>
      <scheme val="minor"/>
      <sz val="11"/>
      <name val="Calibri"/>
    </font>
    <font>
      <b/>
      <color rgb="FF0E2A45"/>
      <sz val="14"/>
    </font>
    <font>
      <i/>
      <color rgb="FF7A8798"/>
      <sz val="10"/>
    </font>
    <font>
      <i/>
      <color rgb="FF7A8798"/>
      <sz val="9"/>
    </font>
    <font>
      <b/>
      <color rgb="FF12324F"/>
    </font>
    <font>
      <b/>
      <color rgb="FF12324F"/>
      <family val="2"/>
      <scheme val="minor"/>
      <sz val="11"/>
      <name val="Calibri"/>
    </font>
    <font>
      <b/>
      <color rgb="FFFFFFFF"/>
    </font>
    <font>
      <i/>
      <color rgb="00808080"/>
      <sz val="9"/>
    </font>
    <font>
      <color rgb="FF1D5FA8"/>
    </font>
    <font>
      <color rgb="000000FF"/>
    </font>
    <font>
      <b/>
      <color rgb="FF8A5A12"/>
    </font>
    <font>
      <color rgb="FF1A2230"/>
      <family val="2"/>
      <scheme val="minor"/>
      <sz val="11"/>
      <name val="Calibri"/>
    </font>
    <font>
      <i/>
      <color rgb="FF6B7480"/>
      <sz val="9"/>
    </font>
    <font>
      <b/>
      <color rgb="FF1E6B3A"/>
    </font>
    <font>
      <b/>
      <color rgb="FF9B2C22"/>
    </font>
    <font>
      <b/>
      <color rgb="FF5A6472"/>
    </font>
    <font>
      <b/>
    </font>
    <font>
      <b/>
      <color rgb="FF1A2230"/>
    </font>
    <font>
      <color rgb="FF9AA5B5"/>
    </font>
  </fonts>
  <fills count="11">
    <fill>
      <patternFill patternType="none"/>
    </fill>
    <fill>
      <patternFill patternType="gray125"/>
    </fill>
    <fill>
      <patternFill/>
    </fill>
    <fill>
      <patternFill patternType="solid">
        <fgColor rgb="00DDE8F3"/>
      </patternFill>
    </fill>
    <fill>
      <patternFill patternType="solid">
        <fgColor rgb="FF12324F"/>
      </patternFill>
    </fill>
    <fill>
      <patternFill patternType="solid">
        <fgColor rgb="FFF7E9CC"/>
      </patternFill>
    </fill>
    <fill>
      <patternFill patternType="solid">
        <fgColor rgb="FFD6EEDD"/>
      </patternFill>
    </fill>
    <fill>
      <patternFill patternType="solid">
        <fgColor rgb="00FCE4E4"/>
      </patternFill>
    </fill>
    <fill>
      <patternFill patternType="solid">
        <fgColor rgb="FFF6D9D6"/>
      </patternFill>
    </fill>
    <fill>
      <patternFill patternType="solid">
        <fgColor rgb="FFE7EAEF"/>
      </patternFill>
    </fill>
    <fill>
      <patternFill patternType="solid">
        <fgColor rgb="FFDDE8F3"/>
      </patternFill>
    </fill>
  </fills>
  <borders count="6">
    <border>
      <left/>
      <right/>
      <top/>
      <bottom/>
      <diagonal/>
    </border>
    <border>
      <left/>
      <right/>
      <top/>
      <bottom style="thin">
        <color rgb="FF2A6EA6"/>
      </bottom>
      <diagonal/>
    </border>
    <border>
      <left/>
      <right/>
      <top style="thin">
        <color rgb="FF0E2A45"/>
      </top>
      <bottom style="double">
        <color rgb="FF0E2A45"/>
      </bottom>
      <diagonal/>
    </border>
    <border>
      <left style="thin">
        <color rgb="00B3B3B3"/>
      </left>
      <right style="thin">
        <color rgb="00B3B3B3"/>
      </right>
      <top style="thin">
        <color rgb="00B3B3B3"/>
      </top>
      <bottom style="thin">
        <color rgb="00B3B3B3"/>
      </bottom>
      <diagonal/>
    </border>
    <border>
      <left/>
      <right/>
      <top/>
      <bottom style="hair">
        <color rgb="FFDCE2EA"/>
      </bottom>
      <diagonal/>
    </border>
    <border>
      <left/>
      <right/>
      <top style="thin">
        <color rgb="00B3B3B3"/>
      </top>
      <bottom style="hair">
        <color rgb="FFDCE2EA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3" borderId="1" xfId="0" applyFont="1" applyFill="1" applyBorder="1"/>
    <xf numFmtId="0" fontId="5" fillId="3" borderId="1" xfId="0" applyFont="1" applyFill="1" applyBorder="1"/>
    <xf numFmtId="0" fontId="6" fillId="4" borderId="2" xfId="0" applyFont="1" applyFill="1" applyBorder="1"/>
    <xf numFmtId="0" fontId="6" fillId="4" borderId="2" xfId="0" applyFont="1" applyFill="1" applyBorder="1" applyAlignment="1">
      <alignment horizontal="left"/>
    </xf>
    <xf numFmtId="0" fontId="7" fillId="2" borderId="3" xfId="0" applyFont="1" applyFill="1" applyBorder="1"/>
    <xf numFmtId="0" fontId="0" fillId="2" borderId="3" xfId="0" applyFill="1" applyBorder="1"/>
    <xf numFmtId="3" fontId="8" fillId="2" borderId="3" xfId="0" applyNumberFormat="1" applyFont="1" applyFill="1" applyBorder="1"/>
    <xf numFmtId="164" fontId="8" fillId="2" borderId="3" xfId="0" applyNumberFormat="1" applyFont="1" applyFill="1" applyBorder="1"/>
    <xf numFmtId="165" fontId="9" fillId="2" borderId="3" xfId="0" applyNumberFormat="1" applyFont="1" applyFill="1" applyBorder="1"/>
    <xf numFmtId="0" fontId="10" fillId="5" borderId="3" xfId="0" applyFont="1" applyFill="1" applyBorder="1" applyAlignment="1">
      <alignment horizontal="center"/>
    </xf>
    <xf numFmtId="166" fontId="11" fillId="2" borderId="3" xfId="0" applyNumberFormat="1" applyFont="1" applyFill="1" applyBorder="1"/>
    <xf numFmtId="0" fontId="12" fillId="2" borderId="3" xfId="0" applyFont="1" applyFill="1" applyBorder="1"/>
    <xf numFmtId="167" fontId="11" fillId="2" borderId="3" xfId="0" applyNumberFormat="1" applyFont="1" applyFill="1" applyBorder="1"/>
    <xf numFmtId="1" fontId="11" fillId="2" borderId="3" xfId="0" applyNumberFormat="1" applyFont="1" applyFill="1" applyBorder="1"/>
    <xf numFmtId="0" fontId="13" fillId="6" borderId="3" xfId="0" applyFont="1" applyFill="1" applyBorder="1" applyAlignment="1">
      <alignment horizontal="center"/>
    </xf>
    <xf numFmtId="0" fontId="7" fillId="7" borderId="3" xfId="0" applyFont="1" applyFill="1" applyBorder="1"/>
    <xf numFmtId="0" fontId="0" fillId="7" borderId="3" xfId="0" applyFill="1" applyBorder="1"/>
    <xf numFmtId="3" fontId="8" fillId="7" borderId="3" xfId="0" applyNumberFormat="1" applyFont="1" applyFill="1" applyBorder="1"/>
    <xf numFmtId="164" fontId="8" fillId="7" borderId="3" xfId="0" applyNumberFormat="1" applyFont="1" applyFill="1" applyBorder="1"/>
    <xf numFmtId="165" fontId="9" fillId="7" borderId="3" xfId="0" applyNumberFormat="1" applyFont="1" applyFill="1" applyBorder="1"/>
    <xf numFmtId="167" fontId="11" fillId="7" borderId="3" xfId="0" applyNumberFormat="1" applyFont="1" applyFill="1" applyBorder="1"/>
    <xf numFmtId="1" fontId="11" fillId="7" borderId="3" xfId="0" applyNumberFormat="1" applyFont="1" applyFill="1" applyBorder="1"/>
    <xf numFmtId="0" fontId="14" fillId="8" borderId="3" xfId="0" applyFont="1" applyFill="1" applyBorder="1" applyAlignment="1">
      <alignment horizontal="center"/>
    </xf>
    <xf numFmtId="166" fontId="11" fillId="7" borderId="3" xfId="0" applyNumberFormat="1" applyFont="1" applyFill="1" applyBorder="1"/>
    <xf numFmtId="0" fontId="12" fillId="7" borderId="3" xfId="0" applyFont="1" applyFill="1" applyBorder="1"/>
    <xf numFmtId="0" fontId="15" fillId="9" borderId="3" xfId="0" applyFont="1" applyFill="1" applyBorder="1" applyAlignment="1">
      <alignment horizontal="center"/>
    </xf>
    <xf numFmtId="0" fontId="16" fillId="2" borderId="3" xfId="0" applyFont="1" applyFill="1" applyBorder="1"/>
    <xf numFmtId="3" fontId="17" fillId="2" borderId="3" xfId="0" applyNumberFormat="1" applyFont="1" applyFill="1" applyBorder="1"/>
    <xf numFmtId="0" fontId="18" fillId="0" borderId="4" xfId="0" applyFont="1" applyBorder="1" applyAlignment="1">
      <alignment horizontal="center"/>
    </xf>
    <xf numFmtId="166" fontId="17" fillId="2" borderId="3" xfId="0" applyNumberFormat="1" applyFont="1" applyFill="1" applyBorder="1"/>
    <xf numFmtId="0" fontId="0" fillId="0" borderId="4" xfId="0" applyBorder="1"/>
    <xf numFmtId="3" fontId="11" fillId="2" borderId="4" xfId="0" applyNumberFormat="1" applyFont="1" applyFill="1" applyBorder="1"/>
    <xf numFmtId="10" fontId="11" fillId="2" borderId="4" xfId="0" applyNumberFormat="1" applyFont="1" applyFill="1" applyBorder="1"/>
    <xf numFmtId="0" fontId="7" fillId="2" borderId="4" xfId="0" applyFont="1" applyFill="1" applyBorder="1"/>
    <xf numFmtId="164" fontId="8" fillId="2" borderId="4" xfId="0" applyNumberFormat="1" applyFont="1" applyFill="1" applyBorder="1"/>
    <xf numFmtId="3" fontId="8" fillId="2" borderId="4" xfId="0" applyNumberFormat="1" applyFont="1" applyFill="1" applyBorder="1"/>
    <xf numFmtId="2" fontId="11" fillId="2" borderId="4" xfId="0" applyNumberFormat="1" applyFont="1" applyFill="1" applyBorder="1"/>
    <xf numFmtId="0" fontId="16" fillId="2" borderId="4" xfId="0" applyFont="1" applyFill="1" applyBorder="1"/>
    <xf numFmtId="166" fontId="17" fillId="2" borderId="5" xfId="0" applyNumberFormat="1" applyFont="1" applyFill="1" applyBorder="1"/>
    <xf numFmtId="166" fontId="11" fillId="2" borderId="4" xfId="0" applyNumberFormat="1" applyFont="1" applyFill="1" applyBorder="1"/>
    <xf numFmtId="165" fontId="9" fillId="2" borderId="4" xfId="0" applyNumberFormat="1" applyFont="1" applyFill="1" applyBorder="1"/>
    <xf numFmtId="1" fontId="11" fillId="2" borderId="4" xfId="0" applyNumberFormat="1" applyFont="1" applyFill="1" applyBorder="1"/>
    <xf numFmtId="1" fontId="8" fillId="2" borderId="4" xfId="0" applyNumberFormat="1" applyFont="1" applyFill="1" applyBorder="1"/>
    <xf numFmtId="0" fontId="4" fillId="10" borderId="1" xfId="0" applyFont="1" applyFill="1" applyBorder="1"/>
    <xf numFmtId="1" fontId="5" fillId="1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M23"/>
  <sheetViews>
    <sheetView workbookViewId="0">
      <pane xSplit="1" ySplit="6" topLeftCell="B7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3" max="3" width="31" customWidth="1"/>
    <col min="5" max="5" width="11" customWidth="1"/>
    <col min="6" max="6" width="26" customWidth="1"/>
    <col min="7" max="7" width="12" customWidth="1"/>
    <col min="8" max="8" width="26" customWidth="1"/>
    <col min="10" max="10" width="10" customWidth="1"/>
    <col min="11" max="11" width="12" customWidth="1"/>
    <col min="12" max="12" width="13" customWidth="1"/>
    <col min="13" max="13" width="31" customWidth="1"/>
  </cols>
  <sheetData>
    <row r="1" spans="1:13" x14ac:dyDescent="0.25">
      <c r="A1" s="1" t="s">
        <v>0</v>
      </c>
    </row>
    <row r="2" spans="1:13" x14ac:dyDescent="0.25">
      <c r="A2" s="2" t="s">
        <v>1</v>
      </c>
    </row>
    <row r="3" spans="1:13" x14ac:dyDescent="0.25">
      <c r="A3" s="3" t="s">
        <v>2</v>
      </c>
    </row>
    <row r="4" spans="1:13" x14ac:dyDescent="0.25"/>
    <row r="5" spans="1:13" x14ac:dyDescent="0.25">
      <c r="A5" s="4" t="s">
        <v>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A6" s="6" t="s">
        <v>4</v>
      </c>
      <c r="B6" s="7" t="s">
        <v>5</v>
      </c>
      <c r="C6" s="7" t="s">
        <v>6</v>
      </c>
      <c r="D6" s="7" t="s">
        <v>7</v>
      </c>
      <c r="E6" s="7" t="s">
        <v>8</v>
      </c>
      <c r="F6" s="7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7" t="s">
        <v>14</v>
      </c>
      <c r="L6" s="7" t="s">
        <v>15</v>
      </c>
      <c r="M6" s="7" t="s">
        <v>16</v>
      </c>
    </row>
    <row r="7" spans="1:13" x14ac:dyDescent="0.25">
      <c r="A7" s="8" t="s">
        <v>17</v>
      </c>
      <c r="B7" s="9" t="s">
        <v>18</v>
      </c>
      <c r="C7" s="9" t="s">
        <v>19</v>
      </c>
      <c r="D7" s="10">
        <v>5850</v>
      </c>
      <c r="E7" s="11">
        <v>27.5</v>
      </c>
      <c r="F7" s="12">
        <v>46934</v>
      </c>
      <c r="G7" s="9" t="s">
        <v>20</v>
      </c>
      <c r="H7" s="9" t="s">
        <v>20</v>
      </c>
      <c r="I7" s="9" t="s">
        <v>20</v>
      </c>
      <c r="J7" s="9" t="s">
        <v>20</v>
      </c>
      <c r="K7" s="13" t="s">
        <v>21</v>
      </c>
      <c r="L7" s="14">
        <f>D7*E7</f>
        <v>160875</v>
      </c>
      <c r="M7" s="15" t="s">
        <v>22</v>
      </c>
    </row>
    <row r="8" spans="1:13" x14ac:dyDescent="0.25">
      <c r="A8" s="8" t="s">
        <v>23</v>
      </c>
      <c r="B8" s="9" t="s">
        <v>24</v>
      </c>
      <c r="C8" s="9" t="s">
        <v>25</v>
      </c>
      <c r="D8" s="10">
        <v>1664</v>
      </c>
      <c r="E8" s="11">
        <v>34</v>
      </c>
      <c r="F8" s="12">
        <v>47483</v>
      </c>
      <c r="G8" s="11">
        <v>34</v>
      </c>
      <c r="H8" s="12">
        <v>47483</v>
      </c>
      <c r="I8" s="16">
        <f>E8-G8</f>
        <v>0</v>
      </c>
      <c r="J8" s="17">
        <f>(YEAR(F8)-YEAR(H8))*12+(MONTH(F8)-MONTH(H8))</f>
        <v>0</v>
      </c>
      <c r="K8" s="18" t="str">
        <f>IF(AND(I8=0,J8=0),"MATCH","MISMATCH")</f>
        <v>MATCH</v>
      </c>
      <c r="L8" s="14">
        <f>D8*E8</f>
        <v>56576</v>
      </c>
      <c r="M8" s="15" t="s">
        <v>26</v>
      </c>
    </row>
    <row r="9" spans="1:13" x14ac:dyDescent="0.25">
      <c r="A9" s="8" t="s">
        <v>27</v>
      </c>
      <c r="B9" s="9" t="s">
        <v>28</v>
      </c>
      <c r="C9" s="9" t="s">
        <v>29</v>
      </c>
      <c r="D9" s="10">
        <v>2486</v>
      </c>
      <c r="E9" s="11">
        <v>31.5</v>
      </c>
      <c r="F9" s="12">
        <v>46660</v>
      </c>
      <c r="G9" s="9" t="s">
        <v>20</v>
      </c>
      <c r="H9" s="9" t="s">
        <v>20</v>
      </c>
      <c r="I9" s="9" t="s">
        <v>20</v>
      </c>
      <c r="J9" s="9" t="s">
        <v>20</v>
      </c>
      <c r="K9" s="13" t="s">
        <v>21</v>
      </c>
      <c r="L9" s="14">
        <f>D9*E9</f>
        <v>78309</v>
      </c>
      <c r="M9" s="15" t="s">
        <v>22</v>
      </c>
    </row>
    <row r="10" spans="1:13" x14ac:dyDescent="0.25">
      <c r="A10" s="8" t="s">
        <v>30</v>
      </c>
      <c r="B10" s="9" t="s">
        <v>31</v>
      </c>
      <c r="C10" s="9" t="s">
        <v>32</v>
      </c>
      <c r="D10" s="10">
        <v>6448</v>
      </c>
      <c r="E10" s="11">
        <v>28.25</v>
      </c>
      <c r="F10" s="12">
        <v>47999</v>
      </c>
      <c r="G10" s="11">
        <v>28.25</v>
      </c>
      <c r="H10" s="12">
        <v>47999</v>
      </c>
      <c r="I10" s="16">
        <f>E10-G10</f>
        <v>0</v>
      </c>
      <c r="J10" s="17">
        <f>(YEAR(F10)-YEAR(H10))*12+(MONTH(F10)-MONTH(H10))</f>
        <v>0</v>
      </c>
      <c r="K10" s="18" t="str">
        <f>IF(AND(I10=0,J10=0),"MATCH","MISMATCH")</f>
        <v>MATCH</v>
      </c>
      <c r="L10" s="14">
        <f>D10*E10</f>
        <v>182156</v>
      </c>
      <c r="M10" s="15" t="s">
        <v>33</v>
      </c>
    </row>
    <row r="11" spans="1:13" x14ac:dyDescent="0.25">
      <c r="A11" s="8" t="s">
        <v>34</v>
      </c>
      <c r="B11" s="9" t="s">
        <v>35</v>
      </c>
      <c r="C11" s="9" t="s">
        <v>36</v>
      </c>
      <c r="D11" s="10">
        <v>4120</v>
      </c>
      <c r="E11" s="11">
        <v>26.75</v>
      </c>
      <c r="F11" s="12">
        <v>46812</v>
      </c>
      <c r="G11" s="9" t="s">
        <v>20</v>
      </c>
      <c r="H11" s="9" t="s">
        <v>20</v>
      </c>
      <c r="I11" s="9" t="s">
        <v>20</v>
      </c>
      <c r="J11" s="9" t="s">
        <v>20</v>
      </c>
      <c r="K11" s="13" t="s">
        <v>21</v>
      </c>
      <c r="L11" s="14">
        <f>D11*E11</f>
        <v>110210</v>
      </c>
      <c r="M11" s="15" t="s">
        <v>22</v>
      </c>
    </row>
    <row r="12" spans="1:13" x14ac:dyDescent="0.25">
      <c r="A12" s="8" t="s">
        <v>37</v>
      </c>
      <c r="B12" s="9" t="s">
        <v>38</v>
      </c>
      <c r="C12" s="9" t="s">
        <v>39</v>
      </c>
      <c r="D12" s="10">
        <v>6890</v>
      </c>
      <c r="E12" s="11">
        <v>27</v>
      </c>
      <c r="F12" s="12">
        <v>47452</v>
      </c>
      <c r="G12" s="9" t="s">
        <v>20</v>
      </c>
      <c r="H12" s="9" t="s">
        <v>20</v>
      </c>
      <c r="I12" s="9" t="s">
        <v>20</v>
      </c>
      <c r="J12" s="9" t="s">
        <v>20</v>
      </c>
      <c r="K12" s="13" t="s">
        <v>21</v>
      </c>
      <c r="L12" s="14">
        <f>D12*E12</f>
        <v>186030</v>
      </c>
      <c r="M12" s="15" t="s">
        <v>22</v>
      </c>
    </row>
    <row r="13" spans="1:13" x14ac:dyDescent="0.25">
      <c r="A13" s="19" t="s">
        <v>40</v>
      </c>
      <c r="B13" s="20" t="s">
        <v>41</v>
      </c>
      <c r="C13" s="20" t="s">
        <v>42</v>
      </c>
      <c r="D13" s="21">
        <v>3610</v>
      </c>
      <c r="E13" s="22">
        <v>29.5</v>
      </c>
      <c r="F13" s="23">
        <v>46477</v>
      </c>
      <c r="G13" s="22">
        <v>29.5</v>
      </c>
      <c r="H13" s="23">
        <v>46112</v>
      </c>
      <c r="I13" s="24">
        <f>E13-G13</f>
        <v>0</v>
      </c>
      <c r="J13" s="25">
        <f>(YEAR(F13)-YEAR(H13))*12+(MONTH(F13)-MONTH(H13))</f>
        <v>12</v>
      </c>
      <c r="K13" s="26" t="str">
        <f>IF(AND(I13=0,J13=0),"MATCH","MISMATCH")</f>
        <v>MISMATCH</v>
      </c>
      <c r="L13" s="27">
        <f>D13*E13</f>
        <v>106495</v>
      </c>
      <c r="M13" s="28" t="s">
        <v>43</v>
      </c>
    </row>
    <row r="14" spans="1:13" x14ac:dyDescent="0.25">
      <c r="A14" s="8" t="s">
        <v>44</v>
      </c>
      <c r="B14" s="9" t="s">
        <v>45</v>
      </c>
      <c r="C14" s="9" t="s">
        <v>46</v>
      </c>
      <c r="D14" s="10">
        <v>2140</v>
      </c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29" t="s">
        <v>47</v>
      </c>
      <c r="L14" s="9" t="s">
        <v>20</v>
      </c>
      <c r="M14" s="15" t="s">
        <v>20</v>
      </c>
    </row>
    <row r="15" spans="1:13" x14ac:dyDescent="0.25">
      <c r="A15" s="19" t="s">
        <v>48</v>
      </c>
      <c r="B15" s="20" t="s">
        <v>49</v>
      </c>
      <c r="C15" s="20" t="s">
        <v>50</v>
      </c>
      <c r="D15" s="21">
        <v>4732</v>
      </c>
      <c r="E15" s="22">
        <v>29.75</v>
      </c>
      <c r="F15" s="23">
        <v>47726</v>
      </c>
      <c r="G15" s="22">
        <v>28.75</v>
      </c>
      <c r="H15" s="23">
        <v>47726</v>
      </c>
      <c r="I15" s="24">
        <f>E15-G15</f>
        <v>1</v>
      </c>
      <c r="J15" s="25">
        <f>(YEAR(F15)-YEAR(H15))*12+(MONTH(F15)-MONTH(H15))</f>
        <v>0</v>
      </c>
      <c r="K15" s="26" t="str">
        <f>IF(AND(I15=0,J15=0),"MATCH","MISMATCH")</f>
        <v>MISMATCH</v>
      </c>
      <c r="L15" s="27">
        <f>D15*E15</f>
        <v>140777</v>
      </c>
      <c r="M15" s="28" t="s">
        <v>51</v>
      </c>
    </row>
    <row r="16" spans="1:13" x14ac:dyDescent="0.25">
      <c r="A16" s="8" t="s">
        <v>52</v>
      </c>
      <c r="B16" s="9" t="s">
        <v>53</v>
      </c>
      <c r="C16" s="9" t="s">
        <v>54</v>
      </c>
      <c r="D16" s="10">
        <v>4275</v>
      </c>
      <c r="E16" s="11">
        <v>25.5</v>
      </c>
      <c r="F16" s="12">
        <v>46418</v>
      </c>
      <c r="G16" s="9" t="s">
        <v>20</v>
      </c>
      <c r="H16" s="9" t="s">
        <v>20</v>
      </c>
      <c r="I16" s="9" t="s">
        <v>20</v>
      </c>
      <c r="J16" s="9" t="s">
        <v>20</v>
      </c>
      <c r="K16" s="13" t="s">
        <v>21</v>
      </c>
      <c r="L16" s="14">
        <f>D16*E16</f>
        <v>109012.5</v>
      </c>
      <c r="M16" s="15" t="s">
        <v>22</v>
      </c>
    </row>
    <row r="17" spans="1:13" x14ac:dyDescent="0.25">
      <c r="A17" s="8" t="s">
        <v>55</v>
      </c>
      <c r="B17" s="9" t="s">
        <v>56</v>
      </c>
      <c r="C17" s="9" t="s">
        <v>57</v>
      </c>
      <c r="D17" s="10">
        <v>7765</v>
      </c>
      <c r="E17" s="11">
        <v>30.25</v>
      </c>
      <c r="F17" s="12">
        <v>48518</v>
      </c>
      <c r="G17" s="9" t="s">
        <v>20</v>
      </c>
      <c r="H17" s="9" t="s">
        <v>20</v>
      </c>
      <c r="I17" s="9" t="s">
        <v>20</v>
      </c>
      <c r="J17" s="9" t="s">
        <v>20</v>
      </c>
      <c r="K17" s="13" t="s">
        <v>21</v>
      </c>
      <c r="L17" s="14">
        <f>D17*E17</f>
        <v>234891.25</v>
      </c>
      <c r="M17" s="15" t="s">
        <v>22</v>
      </c>
    </row>
    <row r="18" spans="1:13" x14ac:dyDescent="0.25">
      <c r="A18" s="8" t="s">
        <v>58</v>
      </c>
      <c r="B18" s="9" t="s">
        <v>59</v>
      </c>
      <c r="C18" s="9" t="s">
        <v>46</v>
      </c>
      <c r="D18" s="10">
        <v>2020</v>
      </c>
      <c r="E18" s="9" t="s">
        <v>20</v>
      </c>
      <c r="F18" s="9" t="s">
        <v>20</v>
      </c>
      <c r="G18" s="9" t="s">
        <v>20</v>
      </c>
      <c r="H18" s="9" t="s">
        <v>20</v>
      </c>
      <c r="I18" s="9" t="s">
        <v>20</v>
      </c>
      <c r="J18" s="9" t="s">
        <v>20</v>
      </c>
      <c r="K18" s="29" t="s">
        <v>47</v>
      </c>
      <c r="L18" s="9" t="s">
        <v>20</v>
      </c>
      <c r="M18" s="15" t="s">
        <v>20</v>
      </c>
    </row>
    <row r="19" spans="1:13" x14ac:dyDescent="0.25">
      <c r="C19" s="30" t="s">
        <v>60</v>
      </c>
      <c r="D19" s="31">
        <f>SUM(D7:D18)</f>
        <v>52000</v>
      </c>
      <c r="E19" s="32" t="s">
        <v>20</v>
      </c>
      <c r="F19" s="32" t="s">
        <v>20</v>
      </c>
      <c r="G19" s="32" t="s">
        <v>20</v>
      </c>
      <c r="H19" s="32" t="s">
        <v>20</v>
      </c>
      <c r="I19" s="32" t="s">
        <v>20</v>
      </c>
      <c r="J19" s="32" t="s">
        <v>20</v>
      </c>
      <c r="K19" s="32" t="s">
        <v>20</v>
      </c>
      <c r="L19" s="33">
        <f>SUM(L7:L18)</f>
        <v>1365331.75</v>
      </c>
      <c r="M19" s="15" t="s">
        <v>61</v>
      </c>
    </row>
    <row r="20" spans="1:13" x14ac:dyDescent="0.25">
      <c r="C20" s="34" t="s">
        <v>62</v>
      </c>
      <c r="D20" s="35">
        <f>D19-D14-D18</f>
        <v>47840</v>
      </c>
    </row>
    <row r="21" spans="1:13" x14ac:dyDescent="0.25">
      <c r="C21" s="34" t="s">
        <v>63</v>
      </c>
      <c r="D21" s="36">
        <f>D20/D19</f>
        <v>0.92</v>
      </c>
    </row>
    <row r="22" spans="1:13" x14ac:dyDescent="0.25"/>
    <row r="23" spans="1:13" x14ac:dyDescent="0.25">
      <c r="A23" s="37" t="s">
        <v>64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C27"/>
  <sheetViews>
    <sheetView workbookViewId="0">
      <pane xSplit="1" ySplit="3" topLeftCell="B4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2" max="2" width="26" customWidth="1"/>
    <col min="3" max="3" width="56" customWidth="1"/>
  </cols>
  <sheetData>
    <row r="1" spans="1:3" x14ac:dyDescent="0.25">
      <c r="A1" s="1" t="s">
        <v>65</v>
      </c>
    </row>
    <row r="2" spans="1:3" x14ac:dyDescent="0.25">
      <c r="A2" s="2" t="s">
        <v>1</v>
      </c>
    </row>
    <row r="3" spans="1:3" x14ac:dyDescent="0.25">
      <c r="A3" s="3" t="s">
        <v>66</v>
      </c>
    </row>
    <row r="4" spans="1:3" x14ac:dyDescent="0.25"/>
    <row r="5" spans="1:3" x14ac:dyDescent="0.25">
      <c r="A5" s="4" t="s">
        <v>67</v>
      </c>
      <c r="B5" s="5"/>
      <c r="C5" s="5"/>
    </row>
    <row r="6" spans="1:3" x14ac:dyDescent="0.25">
      <c r="A6" s="34" t="s">
        <v>68</v>
      </c>
      <c r="B6" s="38">
        <v>29.75</v>
      </c>
      <c r="C6" s="37" t="s">
        <v>69</v>
      </c>
    </row>
    <row r="7" spans="1:3" x14ac:dyDescent="0.25">
      <c r="A7" s="34" t="s">
        <v>70</v>
      </c>
      <c r="B7" s="38">
        <v>28.75</v>
      </c>
      <c r="C7" s="37" t="s">
        <v>71</v>
      </c>
    </row>
    <row r="8" spans="1:3" x14ac:dyDescent="0.25">
      <c r="A8" s="34" t="s">
        <v>72</v>
      </c>
      <c r="B8" s="39">
        <v>4732</v>
      </c>
      <c r="C8" s="37" t="s">
        <v>73</v>
      </c>
    </row>
    <row r="9" spans="1:3" x14ac:dyDescent="0.25">
      <c r="A9" s="34" t="s">
        <v>74</v>
      </c>
      <c r="B9" s="40">
        <f>B6-B7</f>
        <v>1</v>
      </c>
    </row>
    <row r="10" spans="1:3" x14ac:dyDescent="0.25">
      <c r="A10" s="41" t="s">
        <v>75</v>
      </c>
      <c r="B10" s="42">
        <f>B9*B8</f>
        <v>4732</v>
      </c>
    </row>
    <row r="11" spans="1:3" x14ac:dyDescent="0.25">
      <c r="A11" s="34" t="s">
        <v>76</v>
      </c>
      <c r="B11" s="43">
        <f>B10/12</f>
        <v>394.33333333</v>
      </c>
    </row>
    <row r="12" spans="1:3" x14ac:dyDescent="0.25">
      <c r="A12" s="37" t="s">
        <v>77</v>
      </c>
    </row>
    <row r="13" spans="1:3" x14ac:dyDescent="0.25"/>
    <row r="14" spans="1:3" x14ac:dyDescent="0.25">
      <c r="A14" s="4" t="s">
        <v>78</v>
      </c>
      <c r="B14" s="5"/>
      <c r="C14" s="5"/>
    </row>
    <row r="15" spans="1:3" x14ac:dyDescent="0.25">
      <c r="A15" s="34" t="s">
        <v>9</v>
      </c>
      <c r="B15" s="44">
        <v>46477</v>
      </c>
      <c r="C15" s="37" t="s">
        <v>79</v>
      </c>
    </row>
    <row r="16" spans="1:3" x14ac:dyDescent="0.25">
      <c r="A16" s="34" t="s">
        <v>11</v>
      </c>
      <c r="B16" s="44">
        <v>46112</v>
      </c>
      <c r="C16" s="37" t="s">
        <v>80</v>
      </c>
    </row>
    <row r="17" spans="1:3" x14ac:dyDescent="0.25">
      <c r="A17" s="34" t="s">
        <v>81</v>
      </c>
      <c r="B17" s="45">
        <f>(YEAR(B15)-YEAR(B16))*12+(MONTH(B15)-MONTH(B16))</f>
        <v>12</v>
      </c>
    </row>
    <row r="18" spans="1:3" x14ac:dyDescent="0.25">
      <c r="A18" s="34" t="s">
        <v>72</v>
      </c>
      <c r="B18" s="39">
        <v>3610</v>
      </c>
    </row>
    <row r="19" spans="1:3" x14ac:dyDescent="0.25">
      <c r="A19" s="34" t="s">
        <v>82</v>
      </c>
      <c r="B19" s="38">
        <v>29.5</v>
      </c>
      <c r="C19" s="37" t="s">
        <v>83</v>
      </c>
    </row>
    <row r="20" spans="1:3" x14ac:dyDescent="0.25">
      <c r="A20" s="34" t="s">
        <v>84</v>
      </c>
      <c r="B20" s="43">
        <f>B18*B19</f>
        <v>106495</v>
      </c>
    </row>
    <row r="21" spans="1:3" x14ac:dyDescent="0.25">
      <c r="A21" s="41" t="s">
        <v>85</v>
      </c>
      <c r="B21" s="42">
        <f>B17/12*B20</f>
        <v>106495</v>
      </c>
    </row>
    <row r="22" spans="1:3" x14ac:dyDescent="0.25">
      <c r="A22" s="37" t="s">
        <v>86</v>
      </c>
    </row>
    <row r="23" spans="1:3" x14ac:dyDescent="0.25"/>
    <row r="24" spans="1:3" x14ac:dyDescent="0.25">
      <c r="A24" s="4" t="s">
        <v>87</v>
      </c>
      <c r="B24" s="5"/>
      <c r="C24" s="5"/>
    </row>
    <row r="25" spans="1:3" x14ac:dyDescent="0.25">
      <c r="A25" s="41" t="s">
        <v>88</v>
      </c>
      <c r="B25" s="42">
        <f>B10+B21</f>
        <v>111227</v>
      </c>
    </row>
    <row r="26" spans="1:3" x14ac:dyDescent="0.25">
      <c r="A26" s="34" t="s">
        <v>89</v>
      </c>
      <c r="B26" s="43">
        <f>'Tie-Out'!L19-B10</f>
        <v>1360599.75</v>
      </c>
    </row>
    <row r="27" spans="1:3" x14ac:dyDescent="0.25">
      <c r="A27" s="34" t="s">
        <v>90</v>
      </c>
      <c r="B27" s="43">
        <f>B21</f>
        <v>106495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C24"/>
  <sheetViews>
    <sheetView workbookViewId="0">
      <pane xSplit="1" ySplit="3" topLeftCell="B4" activePane="bottomRight" state="frozen"/>
      <selection pane="bottomRight" activeCell="A1" sqref="A1"/>
    </sheetView>
  </sheetViews>
  <sheetFormatPr defaultRowHeight="15" outlineLevelRow="0" outlineLevelCol="0" x14ac:dyDescent="0"/>
  <cols>
    <col min="1" max="1" width="46" customWidth="1"/>
    <col min="2" max="2" width="12" customWidth="1"/>
    <col min="3" max="3" width="34" customWidth="1"/>
  </cols>
  <sheetData>
    <row r="1" spans="1:3" x14ac:dyDescent="0.25">
      <c r="A1" s="1" t="s">
        <v>91</v>
      </c>
    </row>
    <row r="2" spans="1:3" x14ac:dyDescent="0.25">
      <c r="A2" s="2" t="s">
        <v>1</v>
      </c>
    </row>
    <row r="3" spans="1:3" x14ac:dyDescent="0.25">
      <c r="A3" s="3" t="s">
        <v>92</v>
      </c>
    </row>
    <row r="4" spans="1:3" x14ac:dyDescent="0.25"/>
    <row r="5" spans="1:3" x14ac:dyDescent="0.25">
      <c r="A5" s="4" t="s">
        <v>93</v>
      </c>
      <c r="B5" s="5"/>
      <c r="C5" s="5"/>
    </row>
    <row r="6" spans="1:3" x14ac:dyDescent="0.25">
      <c r="A6" s="34" t="s">
        <v>94</v>
      </c>
      <c r="B6" s="45">
        <f>COUNTA('Tie-Out'!B7:B18)</f>
        <v>12</v>
      </c>
    </row>
    <row r="7" spans="1:3" x14ac:dyDescent="0.25">
      <c r="A7" s="34" t="s">
        <v>95</v>
      </c>
      <c r="B7" s="46">
        <v>10</v>
      </c>
      <c r="C7" s="37" t="s">
        <v>96</v>
      </c>
    </row>
    <row r="8" spans="1:3" x14ac:dyDescent="0.25">
      <c r="A8" s="34" t="s">
        <v>97</v>
      </c>
      <c r="B8" s="46">
        <v>4</v>
      </c>
      <c r="C8" s="37" t="s">
        <v>98</v>
      </c>
    </row>
    <row r="9" spans="1:3" x14ac:dyDescent="0.25">
      <c r="A9" s="47" t="s">
        <v>99</v>
      </c>
      <c r="B9" s="48">
        <f>COUNTIF('Tie-Out'!K7:K18,"MATCH")</f>
        <v>2</v>
      </c>
      <c r="C9" s="47"/>
    </row>
    <row r="10" spans="1:3" x14ac:dyDescent="0.25">
      <c r="A10" s="47" t="s">
        <v>100</v>
      </c>
      <c r="B10" s="48">
        <f>COUNTIF('Tie-Out'!K7:K18,"MISMATCH")</f>
        <v>2</v>
      </c>
      <c r="C10" s="47"/>
    </row>
    <row r="11" spans="1:3" x14ac:dyDescent="0.25">
      <c r="A11" s="34" t="s">
        <v>101</v>
      </c>
      <c r="B11" s="45">
        <f>COUNTIF('Tie-Out'!K7:K18,"NOT TESTED")</f>
        <v>6</v>
      </c>
    </row>
    <row r="12" spans="1:3" x14ac:dyDescent="0.25">
      <c r="A12" s="47" t="s">
        <v>47</v>
      </c>
      <c r="B12" s="48">
        <f>COUNTIF('Tie-Out'!K7:K18,"VACANT")</f>
        <v>2</v>
      </c>
      <c r="C12" s="47"/>
    </row>
    <row r="13" spans="1:3" x14ac:dyDescent="0.25"/>
    <row r="14" spans="1:3" x14ac:dyDescent="0.25">
      <c r="A14" s="4" t="s">
        <v>102</v>
      </c>
      <c r="B14" s="5"/>
      <c r="C14" s="5"/>
    </row>
    <row r="15" spans="1:3" x14ac:dyDescent="0.25">
      <c r="A15" s="34" t="s">
        <v>103</v>
      </c>
      <c r="B15" s="35">
        <f>'Tie-Out'!D19</f>
        <v>52000</v>
      </c>
    </row>
    <row r="16" spans="1:3" x14ac:dyDescent="0.25">
      <c r="A16" s="34" t="s">
        <v>104</v>
      </c>
      <c r="B16" s="35">
        <f>'Tie-Out'!D20</f>
        <v>47840</v>
      </c>
    </row>
    <row r="17" spans="1:3" x14ac:dyDescent="0.25">
      <c r="A17" s="34" t="s">
        <v>63</v>
      </c>
      <c r="B17" s="36">
        <f>'Tie-Out'!D21</f>
        <v>0.92</v>
      </c>
    </row>
    <row r="18" spans="1:3" x14ac:dyDescent="0.25">
      <c r="A18" s="34" t="s">
        <v>105</v>
      </c>
      <c r="B18" s="43">
        <f>'Tie-Out'!L19</f>
        <v>1365331.75</v>
      </c>
    </row>
    <row r="19" spans="1:3" x14ac:dyDescent="0.25">
      <c r="A19" s="34" t="s">
        <v>106</v>
      </c>
      <c r="B19" s="43">
        <f>Mismatches!B26</f>
        <v>1360599.75</v>
      </c>
    </row>
    <row r="20" spans="1:3" x14ac:dyDescent="0.25">
      <c r="A20" s="34" t="s">
        <v>107</v>
      </c>
      <c r="B20" s="43">
        <f>Mismatches!B21</f>
        <v>106495</v>
      </c>
    </row>
    <row r="21" spans="1:3" x14ac:dyDescent="0.25">
      <c r="A21" s="41" t="s">
        <v>88</v>
      </c>
      <c r="B21" s="42">
        <f>Mismatches!B25</f>
        <v>111227</v>
      </c>
    </row>
    <row r="22" spans="1:3" x14ac:dyDescent="0.25"/>
    <row r="23" spans="1:3" x14ac:dyDescent="0.25">
      <c r="A23" s="4" t="s">
        <v>108</v>
      </c>
      <c r="B23" s="5"/>
      <c r="C23" s="5"/>
    </row>
    <row r="24" spans="1:3" x14ac:dyDescent="0.25">
      <c r="A24" s="37" t="s">
        <v>109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Tie-Out</vt:lpstr>
      <vt:lpstr>Mismatches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2026-07-22T09:40:33Z</dcterms:created>
  <dcterms:modified xsi:type="dcterms:W3CDTF">2026-07-22T09:40:33Z</dcterms:modified>
</cp:coreProperties>
</file>